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<sst xmlns="http://schemas.openxmlformats.org/spreadsheetml/2006/main" count="1718" uniqueCount="681">
  <si>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</si>
  <si>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</si>
  <si>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</si>
  <si>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</si>
  <si>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</si>
  <si>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</si>
  <si>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</si>
  <si>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</si>
  <si>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</si>
  <si>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</si>
  <si>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</si>
  <si>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</si>
  <si>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</si>
  <si>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</si>
  <si>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</si>
  <si>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</si>
  <si>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</si>
  <si>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</si>
  <si>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</si>
  <si>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</si>
  <si>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</si>
  <si>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</si>
  <si>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</si>
  <si>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</si>
  <si>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</si>
  <si>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</si>
  <si>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</si>
  <si>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</si>
  <si>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</si>
  <si>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</si>
  <si>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</si>
  <si>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</si>
  <si>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</si>
  <si>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</si>
  <si>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</si>
  <si>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</si>
  <si>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</si>
  <si>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</si>
  <si>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</si>
  <si>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</si>
  <si>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</si>
  <si>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</si>
  <si>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</si>
  <si>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</si>
  <si>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</si>
  <si>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</si>
  <si>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</si>
  <si>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</si>
  <si>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</si>
  <si>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</si>
  <si>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</si>
  <si>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</si>
  <si>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</si>
  <si>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</si>
  <si>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</si>
  <si>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</si>
  <si>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</si>
  <si>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</si>
  <si>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</si>
  <si>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</si>
  <si>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</si>
  <si>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</si>
  <si>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</si>
  <si>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</si>
  <si>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</si>
  <si>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</si>
  <si>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</si>
  <si>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</si>
  <si>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</si>
  <si>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</si>
  <si>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</si>
  <si>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</si>
  <si>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</si>
  <si>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</si>
  <si>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</si>
  <si>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</si>
  <si>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</si>
  <si>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</si>
  <si>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</si>
  <si>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</si>
  <si>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</si>
  <si>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</si>
  <si>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</si>
  <si>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</si>
  <si>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</si>
  <si>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</si>
  <si>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</si>
  <si>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</si>
  <si>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</si>
  <si>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</si>
  <si>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</si>
  <si>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</si>
  <si>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</si>
  <si>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</si>
  <si>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</si>
  <si>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</si>
  <si>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</si>
  <si>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</si>
  <si>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</si>
  <si>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</si>
  <si>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</si>
  <si>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</si>
  <si>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</si>
  <si>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</si>
  <si>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</si>
  <si>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</si>
  <si>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</si>
  <si>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</si>
  <si>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</si>
  <si>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</si>
  <si>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</si>
  <si>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</si>
  <si>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</si>
  <si>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</si>
  <si>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</si>
  <si>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</si>
  <si>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</si>
  <si>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</si>
  <si>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</si>
  <si>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</si>
  <si>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</si>
  <si>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</si>
  <si>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</si>
  <si>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</si>
  <si>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</si>
  <si>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</si>
  <si>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</si>
  <si>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</si>
  <si>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</si>
  <si>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</si>
  <si>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</si>
  <si>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</si>
  <si>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</si>
  <si>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</si>
  <si>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</si>
  <si>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</si>
  <si>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</si>
  <si>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</si>
  <si>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</si>
  <si>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</si>
  <si>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</si>
  <si>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</si>
  <si>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</si>
  <si>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</si>
  <si>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</si>
  <si>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</si>
  <si>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</si>
  <si>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</si>
  <si>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</si>
  <si>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</si>
  <si>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</si>
  <si>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</si>
  <si>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</si>
  <si>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</si>
  <si>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</si>
  <si>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</si>
  <si>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</si>
  <si>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</si>
  <si>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</si>
  <si>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</si>
  <si>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</si>
  <si>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</si>
  <si>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</si>
  <si>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</si>
  <si>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</si>
  <si>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</si>
  <si>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</si>
  <si>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</si>
  <si>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</si>
  <si>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</si>
  <si>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</si>
  <si>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</si>
  <si>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</si>
  <si>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</si>
  <si>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</si>
  <si>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</si>
  <si>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</si>
  <si>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</si>
  <si>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</si>
  <si>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</si>
  <si>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</si>
  <si>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</si>
  <si>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</si>
  <si>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</si>
  <si>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</si>
  <si>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</si>
  <si>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</si>
  <si>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</si>
  <si>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</si>
  <si>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</si>
  <si>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</si>
  <si>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</si>
  <si>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</si>
  <si>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</si>
  <si>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</si>
  <si>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</si>
  <si>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</si>
  <si>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</si>
  <si>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</si>
  <si>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</si>
  <si>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</si>
  <si>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</si>
  <si>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</si>
  <si>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</si>
  <si>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</si>
  <si>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</si>
  <si>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</si>
  <si>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</si>
  <si>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</si>
  <si>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</si>
  <si>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</si>
  <si>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</si>
  <si>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</si>
  <si>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</si>
  <si>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</si>
  <si>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</si>
  <si>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</si>
  <si>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</si>
  <si>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</si>
  <si>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</si>
  <si>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</si>
  <si>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</si>
  <si>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</si>
  <si>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</si>
  <si>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</si>
  <si>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</si>
  <si>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</si>
  <si>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</si>
  <si>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</si>
  <si>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</si>
  <si>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</si>
  <si>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</si>
  <si>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</si>
  <si>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</si>
  <si>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</si>
  <si>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</si>
  <si>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</si>
  <si>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</si>
  <si>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</si>
  <si>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</si>
  <si>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</si>
  <si>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</si>
  <si>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</si>
  <si>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</si>
  <si>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</si>
  <si>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</si>
  <si>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</si>
  <si>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</si>
  <si>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</si>
  <si>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</si>
  <si>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</si>
  <si>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</si>
  <si>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</si>
  <si>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</si>
  <si>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</si>
  <si>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</si>
  <si>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</si>
  <si>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</si>
  <si>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</si>
  <si>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</si>
  <si>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</si>
  <si>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</si>
  <si>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</si>
  <si>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</si>
  <si>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</si>
  <si>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</si>
  <si>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</si>
  <si>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</si>
  <si>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</si>
  <si>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</si>
  <si>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</si>
  <si>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</si>
  <si>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</si>
  <si>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</si>
  <si>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</si>
  <si>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</si>
  <si>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</si>
  <si>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</si>
  <si>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</si>
  <si>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</si>
  <si>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</si>
  <si>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</si>
  <si>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</si>
  <si>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</si>
  <si>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</si>
  <si>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</si>
  <si>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</si>
  <si>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</si>
  <si>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</si>
  <si>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</si>
  <si>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</si>
  <si>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</si>
  <si>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</si>
  <si>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</si>
  <si>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</si>
  <si>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</si>
  <si>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</si>
  <si>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</si>
  <si>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</si>
  <si>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</si>
  <si>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</si>
  <si>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</si>
  <si>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</si>
  <si>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</si>
  <si>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</si>
  <si>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</si>
  <si>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</si>
  <si>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</si>
  <si>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</si>
  <si>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</si>
  <si>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</si>
  <si>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</si>
  <si>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</si>
  <si>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</si>
  <si>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</si>
  <si>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</si>
  <si>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</si>
  <si>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</si>
  <si>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</si>
  <si>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</si>
  <si>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</si>
  <si>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</si>
  <si>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</si>
  <si>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</si>
  <si>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</si>
  <si>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</si>
  <si>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</si>
  <si>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</si>
  <si>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</si>
  <si>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</si>
  <si>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</si>
  <si>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</si>
  <si>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</si>
  <si>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</si>
  <si>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</si>
  <si>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</si>
  <si>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</si>
  <si>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</si>
  <si>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</si>
  <si>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</si>
  <si>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</si>
  <si>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</si>
  <si>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</si>
  <si>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</si>
  <si>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</si>
  <si>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</si>
  <si>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</si>
  <si>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</si>
  <si>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</si>
  <si>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</si>
  <si>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</si>
  <si>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</si>
  <si>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</si>
  <si>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</si>
  <si>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</si>
  <si>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</si>
  <si>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</si>
  <si>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</si>
  <si>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</si>
  <si>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</si>
  <si>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</si>
  <si>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</si>
  <si>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</si>
  <si>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</si>
  <si>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</si>
  <si>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</si>
  <si>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</si>
  <si>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</si>
  <si>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</si>
  <si>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</si>
  <si>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</si>
  <si>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</si>
  <si>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</si>
  <si>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</si>
  <si>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</si>
  <si>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</si>
  <si>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</si>
  <si>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</si>
  <si>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</si>
  <si>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</si>
  <si>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</si>
  <si>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</si>
  <si>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</si>
  <si>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</si>
  <si>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</si>
  <si>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</si>
  <si>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</si>
  <si>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</si>
  <si>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</si>
  <si>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</si>
  <si>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</si>
  <si>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</si>
  <si>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</si>
  <si>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</si>
  <si>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</si>
  <si>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</si>
  <si>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</si>
  <si>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</si>
  <si>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</si>
  <si>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</si>
  <si>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</si>
  <si>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</si>
  <si>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</si>
  <si>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</si>
  <si>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</si>
  <si>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</si>
  <si>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</si>
  <si>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</si>
  <si>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</si>
  <si>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</si>
  <si>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</si>
  <si>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</si>
  <si>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</si>
  <si>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</si>
  <si>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</si>
  <si>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</si>
  <si>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</si>
  <si>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</si>
  <si>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</si>
  <si>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</si>
  <si>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</si>
  <si>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</si>
  <si>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</si>
  <si>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</si>
  <si>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</si>
  <si>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</si>
  <si>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</si>
  <si>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</si>
  <si>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</si>
  <si>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</si>
  <si>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</si>
  <si>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</si>
  <si>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</si>
  <si>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</si>
  <si>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</si>
  <si>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</si>
  <si>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</si>
  <si>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</si>
  <si>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</si>
  <si>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</si>
  <si>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</si>
  <si>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</si>
  <si>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</si>
  <si>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</si>
  <si>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</si>
  <si>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</si>
  <si>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</si>
  <si>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</si>
  <si>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</si>
  <si>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</si>
  <si>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</si>
  <si>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</si>
  <si>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</si>
  <si>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</si>
  <si>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</si>
  <si>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</si>
  <si>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</si>
  <si>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</si>
  <si>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</si>
  <si>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</si>
  <si>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</si>
  <si>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</si>
  <si>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</si>
  <si>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</si>
  <si>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</si>
  <si>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</si>
  <si>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</si>
  <si>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</si>
  <si>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</si>
  <si>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</si>
  <si>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</si>
  <si>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</si>
  <si>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</si>
  <si>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</si>
  <si>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</si>
  <si>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</si>
  <si>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</si>
  <si>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</si>
  <si>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</si>
  <si>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</si>
  <si>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</si>
  <si>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</si>
  <si>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</si>
  <si>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</si>
  <si>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</si>
  <si>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</si>
  <si>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</si>
  <si>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</si>
  <si>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</si>
  <si>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</si>
  <si>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</si>
  <si>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</si>
  <si>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</si>
  <si>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</si>
  <si>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</si>
  <si>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</si>
  <si>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</si>
  <si>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</si>
  <si>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</si>
  <si>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</si>
  <si>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</si>
  <si>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</si>
  <si>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</si>
  <si>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</si>
  <si>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</si>
  <si>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</si>
  <si>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</si>
  <si>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</si>
  <si>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</si>
  <si>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</si>
  <si>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</si>
  <si>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</si>
  <si>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</si>
  <si>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</si>
  <si>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</si>
  <si>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</si>
  <si>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</si>
  <si>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</si>
  <si>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</si>
  <si>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</si>
  <si>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</si>
  <si>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</si>
  <si>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</si>
  <si>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</si>
  <si>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</si>
  <si>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</si>
  <si>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</si>
  <si>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</si>
  <si>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</si>
  <si>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</si>
  <si>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</si>
  <si>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</si>
  <si>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</si>
  <si>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</si>
  <si>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</si>
  <si>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</si>
  <si>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</si>
  <si>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</si>
  <si>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</si>
  <si>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</si>
  <si>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</si>
  <si>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</si>
  <si>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</si>
  <si>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</si>
  <si>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</si>
  <si>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</si>
  <si>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</si>
  <si>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</si>
  <si>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</si>
  <si>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</si>
  <si>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</si>
  <si>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</si>
  <si>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</si>
  <si>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</si>
  <si>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</si>
  <si>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</si>
  <si>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</si>
  <si>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</si>
  <si>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</si>
  <si>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</si>
  <si>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</si>
  <si>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</si>
  <si>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</si>
  <si>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</si>
  <si>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</si>
  <si>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</si>
  <si>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</si>
  <si>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</si>
  <si>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</si>
  <si>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</si>
  <si>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</si>
  <si>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</si>
  <si>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</si>
  <si>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</si>
  <si>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</si>
  <si>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</si>
  <si>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</si>
  <si>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</si>
  <si>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</si>
  <si>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</si>
  <si>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</si>
  <si>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</si>
  <si>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</si>
  <si>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</si>
  <si>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</si>
  <si>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</si>
  <si>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</si>
  <si>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</si>
  <si>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</si>
  <si>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</si>
  <si>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</si>
  <si>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</si>
  <si>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</si>
  <si>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</si>
  <si>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</si>
  <si>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</si>
  <si>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</si>
  <si>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</si>
  <si>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</si>
  <si>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</si>
  <si>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</si>
  <si>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</si>
  <si>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</si>
  <si>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</si>
  <si>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</si>
  <si>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</si>
  <si>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</si>
  <si>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</si>
  <si>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</si>
  <si>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</si>
  <si>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</si>
  <si>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</si>
  <si>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</si>
  <si>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</si>
  <si>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</si>
  <si>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</si>
  <si>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</si>
  <si>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</si>
  <si>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</si>
  <si>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</si>
  <si>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</si>
  <si>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</si>
  <si>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</si>
  <si>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</si>
  <si>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</si>
  <si>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</si>
  <si>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</si>
  <si>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</si>
  <si>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</si>
  <si>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</si>
  <si>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</si>
  <si>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</si>
  <si>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</si>
  <si>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</si>
  <si>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</si>
  <si>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</si>
  <si>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</si>
  <si>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</si>
  <si>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</si>
  <si>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</si>
  <si>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</si>
  <si>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</si>
  <si>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</si>
  <si>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</si>
  <si>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</si>
  <si>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</si>
  <si>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</si>
  <si>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AB</t>
  </si>
  <si>
    <t>B</t>
  </si>
  <si>
    <t>C</t>
  </si>
  <si>
    <t>D</t>
  </si>
  <si>
    <t>China, Hong Kong Special Administrative Region</t>
  </si>
  <si>
    <t>Precipitation refers to the rainfall measured by the raingauge at the Hong Kong Observatory Headquarters. Raw data are in millimeters and volume is estimated by multiplying the raw data by the total area of Hong Kong (1098 sq km).</t>
  </si>
  <si>
    <t>Evapotranspiration refers to the potential evapotranspiration measured by means of lysimeter at the King's Park Meteorological Station.  Raw data are in millimeters and volume is estimated  by multiplying the raw data by the total area of Hong Kong (1098 sq km).</t>
  </si>
  <si>
    <t>Water from Guangdong Province, CHINA.</t>
  </si>
  <si>
    <t>Excluding supply of fresh water for flushing (data given are based on financial year instead of calendar year).</t>
  </si>
  <si>
    <t>Breakdowns for agriculture, manufacturing and electricity industry are not available.</t>
  </si>
  <si>
    <t>DE</t>
  </si>
  <si>
    <t>DF</t>
  </si>
  <si>
    <t>G</t>
  </si>
  <si>
    <t>H</t>
  </si>
  <si>
    <t>I</t>
  </si>
  <si>
    <t>J</t>
  </si>
  <si>
    <t>K</t>
  </si>
  <si>
    <t>L</t>
  </si>
  <si>
    <t>EJ</t>
  </si>
  <si>
    <t>FJ</t>
  </si>
  <si>
    <t>Data from licence flow (upper limit).</t>
  </si>
  <si>
    <t>May include cooling water.</t>
  </si>
  <si>
    <t xml:space="preserve">Line 10 is the sum of wastewater treated by preliminary treatment, primary treatment (line 11), secondary treatment (line 12) and tertiary treatment (line 13). Preliminary treatment accounted for (in 1 000m3/d) 779, 782, 797, 793, 842, 819, 678, 483, 129, 123, 125, 136 in 2008, 2009, 2010, 2011, 2012, 2013, 2014, 2015, 2016, 2017, 2018 and 2019 respectively. </t>
  </si>
  <si>
    <t>"Primary treatment" is the sum of wastewater treated by chemically enhanced primary treatment and primary treatment.</t>
  </si>
  <si>
    <t>E</t>
  </si>
  <si>
    <t>Pillar Point STW was upgraded from Preliminary treatment to CEPT in May 2014.</t>
  </si>
  <si>
    <t>F</t>
  </si>
  <si>
    <t>Harbour Area Treatment Scheme (HATS) Stage 2A was commissioned in November 2015.</t>
  </si>
  <si>
    <t>Wastewater treated in private treatment plant.</t>
  </si>
  <si>
    <t>Figures refer to licensed peak flow rate. This means that the quantity of waste water treated is expected to be smaller than the figures.</t>
  </si>
  <si>
    <t>Wastewater treated in septic tank</t>
  </si>
  <si>
    <t>Sludge in wet weight (to nearest 1000 tonnes) at approx. 30% dry solids content</t>
  </si>
  <si>
    <t>No data for private facilities.</t>
  </si>
  <si>
    <t>Does not include independent or other wastewater treatment (urban wastewater treatment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</si>
</sst>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xf numFmtId="0" fontId="0" fillId="32" borderId="0" xfId="0" applyFill="1" applyAlignment="1">
      <alignment horizontal="center"/>
    </xf>
    <xf numFmtId="0" fontId="9" fillId="32" borderId="0" xfId="0" applyFont="1" applyFill="1" applyAlignment="1">
      <alignment horizontal="right"/>
    </xf>
    <xf numFmtId="0" fontId="8"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1" fontId="8" fillId="0" borderId="28" xfId="0" applyNumberFormat="1" applyFont="1" applyBorder="1" applyAlignment="1" applyProtection="1">
      <alignment horizontal="center" vertical="center"/>
      <protection locked="0"/>
    </xf>
    <xf numFmtId="1" fontId="31" fillId="0" borderId="28" xfId="0" applyNumberFormat="1" applyFont="1" applyBorder="1" applyAlignment="1" applyProtection="1">
      <alignment horizontal="left" vertical="center"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575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3845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484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40100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200025</xdr:rowOff>
    </xdr:from>
    <xdr:to>
      <xdr:col>6</xdr:col>
      <xdr:colOff>552450</xdr:colOff>
      <xdr:row>16</xdr:row>
      <xdr:rowOff>38100</xdr:rowOff>
    </xdr:to>
    <xdr:sp>
      <xdr:nvSpPr>
        <xdr:cNvPr id="18" name="Line 209"/>
        <xdr:cNvSpPr>
          <a:spLocks/>
        </xdr:cNvSpPr>
      </xdr:nvSpPr>
      <xdr:spPr>
        <a:xfrm flipH="1">
          <a:off x="4543425"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34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40030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687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632460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480060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646747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712470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521017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57187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56235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55282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56235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56235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55282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507682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529590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508635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511492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511492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532447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82905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70572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89635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89635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91540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91540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9635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9635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58177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55282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56235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91540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8682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209550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209550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209550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4219575"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5029200"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7258050"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8201025"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8201025"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8201025"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8201025"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8210550"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8201025"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8210550"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8201025"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42481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40290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40290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40290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40290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40386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42672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72771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84391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84582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84582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84582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84391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40195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40386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3" t="s">
        <v>597</v>
      </c>
    </row>
    <row r="7" spans="2:13" ht="24.75" customHeight="1">
      <c r="B7" s="735" t="s">
        <v>589</v>
      </c>
      <c r="C7" s="735"/>
      <c r="D7" s="735"/>
      <c r="E7" s="735"/>
      <c r="F7" s="735"/>
      <c r="G7" s="735"/>
      <c r="H7" s="735"/>
      <c r="I7" s="735"/>
      <c r="J7" s="735"/>
      <c r="K7" s="735"/>
      <c r="L7" s="735"/>
      <c r="M7" s="735"/>
    </row>
    <row r="8" spans="2:13" ht="24.75" customHeight="1">
      <c r="B8" s="736" t="s">
        <v>644</v>
      </c>
      <c r="C8" s="736"/>
      <c r="D8" s="736"/>
      <c r="E8" s="736"/>
      <c r="F8" s="736"/>
      <c r="G8" s="736"/>
      <c r="H8" s="736"/>
      <c r="I8" s="736"/>
      <c r="J8" s="736"/>
      <c r="K8" s="736"/>
      <c r="L8" s="736"/>
      <c r="M8" s="736"/>
    </row>
    <row r="10" spans="2:4" ht="18">
      <c r="B10" s="116" t="s">
        <v>294</v>
      </c>
      <c r="C10" s="117"/>
      <c r="D10" s="3"/>
    </row>
    <row r="11" spans="2:4" ht="10.5" customHeight="1">
      <c r="B11" s="4"/>
      <c r="C11" s="3"/>
      <c r="D11" s="3"/>
    </row>
    <row r="12" spans="1:13" s="17" customFormat="1" ht="16.5" customHeight="1">
      <c r="A12" s="18"/>
      <c r="B12" s="737" t="s">
        <v>301</v>
      </c>
      <c r="C12" s="737"/>
      <c r="D12" s="737"/>
      <c r="E12" s="737"/>
      <c r="F12" s="737"/>
      <c r="G12" s="737"/>
      <c r="H12" s="737"/>
      <c r="I12" s="737"/>
      <c r="J12" s="737"/>
      <c r="K12" s="737"/>
      <c r="L12" s="737"/>
      <c r="M12" s="737"/>
    </row>
    <row r="13" spans="2:13" ht="10.5" customHeight="1">
      <c r="B13" s="118"/>
      <c r="C13" s="119"/>
      <c r="D13" s="118"/>
      <c r="E13" s="10"/>
      <c r="F13" s="118"/>
      <c r="G13" s="53"/>
      <c r="H13" s="53"/>
      <c r="I13" s="53"/>
      <c r="J13" s="53"/>
      <c r="K13" s="53"/>
      <c r="L13" s="558"/>
      <c r="M13" s="559"/>
    </row>
    <row r="14" spans="2:11" ht="15.75" customHeight="1">
      <c r="B14" s="120" t="s">
        <v>302</v>
      </c>
      <c r="C14" s="738" t="s">
        <v>488</v>
      </c>
      <c r="D14" s="738"/>
      <c r="E14" s="738"/>
      <c r="F14" s="738"/>
      <c r="G14" s="738"/>
      <c r="H14" s="738"/>
      <c r="I14" s="738"/>
      <c r="J14" s="738"/>
      <c r="K14" s="738"/>
    </row>
    <row r="15" spans="2:11" ht="7.5" customHeight="1">
      <c r="B15" s="121"/>
      <c r="C15" s="739"/>
      <c r="D15" s="740"/>
      <c r="E15" s="740"/>
      <c r="F15" s="740"/>
      <c r="G15" s="740"/>
      <c r="H15" s="740"/>
      <c r="I15" s="740"/>
      <c r="J15" s="740"/>
      <c r="K15" s="741"/>
    </row>
    <row r="16" spans="2:11" ht="15.75" customHeight="1">
      <c r="B16" s="121" t="s">
        <v>303</v>
      </c>
      <c r="C16" s="739" t="s">
        <v>305</v>
      </c>
      <c r="D16" s="740"/>
      <c r="E16" s="740"/>
      <c r="F16" s="740"/>
      <c r="G16" s="740"/>
      <c r="H16" s="740"/>
      <c r="I16" s="740"/>
      <c r="J16" s="740"/>
      <c r="K16" s="741"/>
    </row>
    <row r="17" spans="2:11" ht="7.5" customHeight="1">
      <c r="B17" s="121"/>
      <c r="C17" s="739"/>
      <c r="D17" s="740"/>
      <c r="E17" s="740"/>
      <c r="F17" s="740"/>
      <c r="G17" s="740"/>
      <c r="H17" s="740"/>
      <c r="I17" s="740"/>
      <c r="J17" s="740"/>
      <c r="K17" s="741"/>
    </row>
    <row r="18" spans="2:12" ht="15.75" customHeight="1">
      <c r="B18" s="121" t="s">
        <v>306</v>
      </c>
      <c r="C18" s="739" t="s">
        <v>140</v>
      </c>
      <c r="D18" s="742"/>
      <c r="E18" s="742"/>
      <c r="F18" s="742"/>
      <c r="G18" s="742"/>
      <c r="H18" s="742"/>
      <c r="I18" s="742"/>
      <c r="J18" s="742"/>
      <c r="K18" s="742"/>
      <c r="L18" s="89" t="s">
        <v>75</v>
      </c>
    </row>
    <row r="19" spans="2:11" ht="7.5" customHeight="1">
      <c r="B19" s="121"/>
      <c r="C19" s="739"/>
      <c r="D19" s="740"/>
      <c r="E19" s="740"/>
      <c r="F19" s="740"/>
      <c r="G19" s="740"/>
      <c r="H19" s="740"/>
      <c r="I19" s="740"/>
      <c r="J19" s="740"/>
      <c r="K19" s="741"/>
    </row>
    <row r="20" spans="2:12" ht="15.75" customHeight="1">
      <c r="B20" s="121" t="s">
        <v>307</v>
      </c>
      <c r="C20" s="739" t="s">
        <v>83</v>
      </c>
      <c r="D20" s="742"/>
      <c r="E20" s="742"/>
      <c r="F20" s="742"/>
      <c r="G20" s="742"/>
      <c r="H20" s="742"/>
      <c r="I20" s="742"/>
      <c r="J20" s="742"/>
      <c r="K20" s="742"/>
      <c r="L20" s="89" t="s">
        <v>291</v>
      </c>
    </row>
    <row r="21" spans="2:11" ht="7.5" customHeight="1">
      <c r="B21" s="121"/>
      <c r="C21" s="739"/>
      <c r="D21" s="740"/>
      <c r="E21" s="740"/>
      <c r="F21" s="740"/>
      <c r="G21" s="740"/>
      <c r="H21" s="740"/>
      <c r="I21" s="740"/>
      <c r="J21" s="740"/>
      <c r="K21" s="741"/>
    </row>
    <row r="22" spans="2:12" ht="15.75" customHeight="1">
      <c r="B22" s="121" t="s">
        <v>308</v>
      </c>
      <c r="C22" s="739" t="s">
        <v>48</v>
      </c>
      <c r="D22" s="742"/>
      <c r="E22" s="742"/>
      <c r="F22" s="742"/>
      <c r="G22" s="742"/>
      <c r="H22" s="742"/>
      <c r="I22" s="742"/>
      <c r="J22" s="742"/>
      <c r="K22" s="742"/>
      <c r="L22" s="89" t="s">
        <v>79</v>
      </c>
    </row>
    <row r="23" spans="2:11" ht="7.5" customHeight="1">
      <c r="B23" s="121"/>
      <c r="C23" s="739"/>
      <c r="D23" s="740"/>
      <c r="E23" s="740"/>
      <c r="F23" s="740"/>
      <c r="G23" s="740"/>
      <c r="H23" s="740"/>
      <c r="I23" s="740"/>
      <c r="J23" s="740"/>
      <c r="K23" s="741"/>
    </row>
    <row r="24" spans="2:12" ht="15.75" customHeight="1">
      <c r="B24" s="121" t="s">
        <v>263</v>
      </c>
      <c r="C24" s="739" t="s">
        <v>84</v>
      </c>
      <c r="D24" s="740"/>
      <c r="E24" s="740"/>
      <c r="F24" s="740"/>
      <c r="G24" s="740"/>
      <c r="H24" s="740"/>
      <c r="I24" s="740"/>
      <c r="J24" s="740"/>
      <c r="K24" s="741"/>
      <c r="L24" s="89" t="s">
        <v>34</v>
      </c>
    </row>
    <row r="25" spans="2:11" ht="7.5" customHeight="1">
      <c r="B25" s="121"/>
      <c r="C25" s="739"/>
      <c r="D25" s="740"/>
      <c r="E25" s="740"/>
      <c r="F25" s="740"/>
      <c r="G25" s="740"/>
      <c r="H25" s="740"/>
      <c r="I25" s="740"/>
      <c r="J25" s="740"/>
      <c r="K25" s="741"/>
    </row>
    <row r="26" spans="2:12" ht="15.75" customHeight="1">
      <c r="B26" s="121" t="s">
        <v>315</v>
      </c>
      <c r="C26" s="739" t="s">
        <v>141</v>
      </c>
      <c r="D26" s="742"/>
      <c r="E26" s="742"/>
      <c r="F26" s="742"/>
      <c r="G26" s="742"/>
      <c r="H26" s="742"/>
      <c r="I26" s="742"/>
      <c r="J26" s="742"/>
      <c r="K26" s="742"/>
      <c r="L26" s="89" t="s">
        <v>80</v>
      </c>
    </row>
    <row r="27" spans="2:11" ht="7.5" customHeight="1">
      <c r="B27" s="121"/>
      <c r="C27" s="739"/>
      <c r="D27" s="740"/>
      <c r="E27" s="740"/>
      <c r="F27" s="740"/>
      <c r="G27" s="740"/>
      <c r="H27" s="740"/>
      <c r="I27" s="740"/>
      <c r="J27" s="740"/>
      <c r="K27" s="741"/>
    </row>
    <row r="28" spans="2:11" ht="15.75" customHeight="1">
      <c r="B28" s="121" t="s">
        <v>264</v>
      </c>
      <c r="C28" s="739" t="s">
        <v>132</v>
      </c>
      <c r="D28" s="740"/>
      <c r="E28" s="740"/>
      <c r="F28" s="740"/>
      <c r="G28" s="740"/>
      <c r="H28" s="740"/>
      <c r="I28" s="740"/>
      <c r="J28" s="740"/>
      <c r="K28" s="741"/>
    </row>
    <row r="29" spans="2:13" s="7" customFormat="1" ht="15">
      <c r="B29" s="12"/>
      <c r="C29" s="743"/>
      <c r="D29" s="743"/>
      <c r="E29" s="743"/>
      <c r="F29" s="743"/>
      <c r="G29" s="743"/>
      <c r="H29" s="743"/>
      <c r="I29" s="743"/>
      <c r="J29" s="743"/>
      <c r="K29" s="743"/>
      <c r="L29" s="560"/>
      <c r="M29" s="561"/>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A1">
      <selection activeCell="C1" sqref="C1:P24"/>
    </sheetView>
  </sheetViews>
  <sheetFormatPr defaultColWidth="9" defaultRowHeight="12.75"/>
  <cols>
    <col min="1" max="1" width="4.83203125" style="0" customWidth="1"/>
    <col min="2" max="2" width="7" style="32"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2:18" s="33" customFormat="1" ht="15">
      <c r="B3" s="33">
        <v>344</v>
      </c>
      <c r="C3" s="28" t="s">
        <v>296</v>
      </c>
      <c r="D3" s="29" t="s">
        <v>651</v>
      </c>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4" t="s">
        <v>198</v>
      </c>
      <c r="D5" s="905"/>
      <c r="E5" s="905"/>
      <c r="F5" s="905"/>
      <c r="G5" s="905"/>
      <c r="H5" s="905"/>
      <c r="I5" s="905"/>
      <c r="J5" s="905"/>
      <c r="K5" s="905"/>
      <c r="L5" s="905"/>
      <c r="M5" s="905"/>
      <c r="N5" s="26"/>
      <c r="O5" s="26"/>
      <c r="P5" s="26"/>
    </row>
    <row r="6" ht="9.75" customHeight="1"/>
    <row r="7" spans="3:16" ht="17.25" customHeight="1">
      <c r="C7" s="906" t="s">
        <v>11</v>
      </c>
      <c r="D7" s="907"/>
      <c r="E7" s="907"/>
      <c r="F7" s="907"/>
      <c r="G7" s="907"/>
      <c r="H7" s="907"/>
      <c r="I7" s="907"/>
      <c r="J7" s="907"/>
      <c r="K7" s="907"/>
      <c r="L7" s="907"/>
      <c r="M7" s="907"/>
      <c r="N7" s="907"/>
      <c r="O7" s="907"/>
      <c r="P7" s="908"/>
    </row>
    <row r="8" spans="3:16" ht="25.5" customHeight="1">
      <c r="C8" s="912"/>
      <c r="D8" s="913"/>
      <c r="E8" s="913"/>
      <c r="F8" s="913"/>
      <c r="G8" s="913"/>
      <c r="H8" s="913"/>
      <c r="I8" s="913"/>
      <c r="J8" s="913"/>
      <c r="K8" s="913"/>
      <c r="L8" s="913"/>
      <c r="M8" s="913"/>
      <c r="N8" s="913"/>
      <c r="O8" s="913"/>
      <c r="P8" s="914"/>
    </row>
    <row r="9" spans="3:16" ht="39" customHeight="1">
      <c r="C9" s="909" t="s">
        <v>252</v>
      </c>
      <c r="D9" s="910"/>
      <c r="E9" s="910"/>
      <c r="F9" s="910"/>
      <c r="G9" s="910"/>
      <c r="H9" s="910"/>
      <c r="I9" s="910"/>
      <c r="J9" s="910"/>
      <c r="K9" s="910"/>
      <c r="L9" s="910"/>
      <c r="M9" s="910"/>
      <c r="N9" s="910"/>
      <c r="O9" s="910"/>
      <c r="P9" s="911"/>
    </row>
    <row r="10" spans="3:16" ht="15" customHeight="1">
      <c r="C10" s="915"/>
      <c r="D10" s="916"/>
      <c r="E10" s="916"/>
      <c r="F10" s="916"/>
      <c r="G10" s="916"/>
      <c r="H10" s="916"/>
      <c r="I10" s="916"/>
      <c r="J10" s="916"/>
      <c r="K10" s="916"/>
      <c r="L10" s="916"/>
      <c r="M10" s="916"/>
      <c r="N10" s="916"/>
      <c r="O10" s="916"/>
      <c r="P10" s="917"/>
    </row>
    <row r="11" spans="3:16" ht="15" customHeight="1">
      <c r="C11" s="915"/>
      <c r="D11" s="916"/>
      <c r="E11" s="916"/>
      <c r="F11" s="916"/>
      <c r="G11" s="916"/>
      <c r="H11" s="916"/>
      <c r="I11" s="916"/>
      <c r="J11" s="916"/>
      <c r="K11" s="916"/>
      <c r="L11" s="916"/>
      <c r="M11" s="916"/>
      <c r="N11" s="916"/>
      <c r="O11" s="916"/>
      <c r="P11" s="917"/>
    </row>
    <row r="12" spans="3:16" ht="15" customHeight="1">
      <c r="C12" s="915"/>
      <c r="D12" s="916"/>
      <c r="E12" s="916"/>
      <c r="F12" s="916"/>
      <c r="G12" s="916"/>
      <c r="H12" s="916"/>
      <c r="I12" s="916"/>
      <c r="J12" s="916"/>
      <c r="K12" s="916"/>
      <c r="L12" s="916"/>
      <c r="M12" s="916"/>
      <c r="N12" s="916"/>
      <c r="O12" s="916"/>
      <c r="P12" s="917"/>
    </row>
    <row r="13" spans="3:16" ht="15" customHeight="1">
      <c r="C13" s="915"/>
      <c r="D13" s="918"/>
      <c r="E13" s="918"/>
      <c r="F13" s="918"/>
      <c r="G13" s="918"/>
      <c r="H13" s="918"/>
      <c r="I13" s="918"/>
      <c r="J13" s="918"/>
      <c r="K13" s="918"/>
      <c r="L13" s="918"/>
      <c r="M13" s="918"/>
      <c r="N13" s="918"/>
      <c r="O13" s="918"/>
      <c r="P13" s="919"/>
    </row>
    <row r="14" spans="3:16" ht="15" customHeight="1">
      <c r="C14" s="915"/>
      <c r="D14" s="916"/>
      <c r="E14" s="916"/>
      <c r="F14" s="916"/>
      <c r="G14" s="916"/>
      <c r="H14" s="916"/>
      <c r="I14" s="916"/>
      <c r="J14" s="916"/>
      <c r="K14" s="916"/>
      <c r="L14" s="916"/>
      <c r="M14" s="916"/>
      <c r="N14" s="916"/>
      <c r="O14" s="916"/>
      <c r="P14" s="917"/>
    </row>
    <row r="15" spans="3:16" ht="15" customHeight="1">
      <c r="C15" s="915"/>
      <c r="D15" s="916"/>
      <c r="E15" s="916"/>
      <c r="F15" s="916"/>
      <c r="G15" s="916"/>
      <c r="H15" s="916"/>
      <c r="I15" s="916"/>
      <c r="J15" s="916"/>
      <c r="K15" s="916"/>
      <c r="L15" s="916"/>
      <c r="M15" s="916"/>
      <c r="N15" s="916"/>
      <c r="O15" s="916"/>
      <c r="P15" s="917"/>
    </row>
    <row r="16" spans="3:16" ht="15" customHeight="1">
      <c r="C16" s="915"/>
      <c r="D16" s="916"/>
      <c r="E16" s="916"/>
      <c r="F16" s="916"/>
      <c r="G16" s="916"/>
      <c r="H16" s="916"/>
      <c r="I16" s="916"/>
      <c r="J16" s="916"/>
      <c r="K16" s="916"/>
      <c r="L16" s="916"/>
      <c r="M16" s="916"/>
      <c r="N16" s="916"/>
      <c r="O16" s="916"/>
      <c r="P16" s="917"/>
    </row>
    <row r="17" spans="3:16" ht="15" customHeight="1">
      <c r="C17" s="915"/>
      <c r="D17" s="918"/>
      <c r="E17" s="918"/>
      <c r="F17" s="918"/>
      <c r="G17" s="918"/>
      <c r="H17" s="918"/>
      <c r="I17" s="918"/>
      <c r="J17" s="918"/>
      <c r="K17" s="918"/>
      <c r="L17" s="918"/>
      <c r="M17" s="918"/>
      <c r="N17" s="918"/>
      <c r="O17" s="918"/>
      <c r="P17" s="919"/>
    </row>
    <row r="18" spans="3:16" ht="15" customHeight="1">
      <c r="C18" s="915"/>
      <c r="D18" s="918"/>
      <c r="E18" s="918"/>
      <c r="F18" s="918"/>
      <c r="G18" s="918"/>
      <c r="H18" s="918"/>
      <c r="I18" s="918"/>
      <c r="J18" s="918"/>
      <c r="K18" s="918"/>
      <c r="L18" s="918"/>
      <c r="M18" s="918"/>
      <c r="N18" s="918"/>
      <c r="O18" s="918"/>
      <c r="P18" s="919"/>
    </row>
    <row r="19" spans="3:16" ht="15" customHeight="1">
      <c r="C19" s="906" t="s">
        <v>43</v>
      </c>
      <c r="D19" s="907"/>
      <c r="E19" s="907"/>
      <c r="F19" s="907"/>
      <c r="G19" s="907"/>
      <c r="H19" s="907"/>
      <c r="I19" s="907"/>
      <c r="J19" s="907"/>
      <c r="K19" s="907"/>
      <c r="L19" s="907"/>
      <c r="M19" s="907"/>
      <c r="N19" s="907"/>
      <c r="O19" s="907"/>
      <c r="P19" s="908"/>
    </row>
    <row r="20" spans="3:16" ht="15" customHeight="1">
      <c r="C20" s="915"/>
      <c r="D20" s="920"/>
      <c r="E20" s="920"/>
      <c r="F20" s="920"/>
      <c r="G20" s="920"/>
      <c r="H20" s="920"/>
      <c r="I20" s="920"/>
      <c r="J20" s="920"/>
      <c r="K20" s="920"/>
      <c r="L20" s="920"/>
      <c r="M20" s="920"/>
      <c r="N20" s="920"/>
      <c r="O20" s="920"/>
      <c r="P20" s="921"/>
    </row>
    <row r="21" spans="3:16" ht="15" customHeight="1">
      <c r="C21" s="915"/>
      <c r="D21" s="920"/>
      <c r="E21" s="920"/>
      <c r="F21" s="920"/>
      <c r="G21" s="920"/>
      <c r="H21" s="920"/>
      <c r="I21" s="920"/>
      <c r="J21" s="920"/>
      <c r="K21" s="920"/>
      <c r="L21" s="920"/>
      <c r="M21" s="920"/>
      <c r="N21" s="920"/>
      <c r="O21" s="920"/>
      <c r="P21" s="921"/>
    </row>
    <row r="22" spans="3:16" ht="15" customHeight="1">
      <c r="C22" s="915"/>
      <c r="D22" s="920"/>
      <c r="E22" s="920"/>
      <c r="F22" s="920"/>
      <c r="G22" s="920"/>
      <c r="H22" s="920"/>
      <c r="I22" s="920"/>
      <c r="J22" s="920"/>
      <c r="K22" s="920"/>
      <c r="L22" s="920"/>
      <c r="M22" s="920"/>
      <c r="N22" s="920"/>
      <c r="O22" s="920"/>
      <c r="P22" s="921"/>
    </row>
    <row r="23" spans="3:16" ht="15" customHeight="1">
      <c r="C23" s="915"/>
      <c r="D23" s="920"/>
      <c r="E23" s="920"/>
      <c r="F23" s="920"/>
      <c r="G23" s="920"/>
      <c r="H23" s="920"/>
      <c r="I23" s="920"/>
      <c r="J23" s="920"/>
      <c r="K23" s="920"/>
      <c r="L23" s="920"/>
      <c r="M23" s="920"/>
      <c r="N23" s="920"/>
      <c r="O23" s="920"/>
      <c r="P23" s="921"/>
    </row>
    <row r="24" spans="3:16" ht="15" customHeight="1">
      <c r="C24" s="922"/>
      <c r="D24" s="923"/>
      <c r="E24" s="923"/>
      <c r="F24" s="923"/>
      <c r="G24" s="923"/>
      <c r="H24" s="923"/>
      <c r="I24" s="923"/>
      <c r="J24" s="923"/>
      <c r="K24" s="923"/>
      <c r="L24" s="923"/>
      <c r="M24" s="923"/>
      <c r="N24" s="923"/>
      <c r="O24" s="923"/>
      <c r="P24" s="924"/>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56" t="s">
        <v>310</v>
      </c>
      <c r="C3" s="756"/>
      <c r="D3" s="756"/>
      <c r="E3" s="756"/>
      <c r="F3" s="756"/>
      <c r="G3" s="756"/>
      <c r="H3" s="756"/>
      <c r="I3" s="756"/>
      <c r="J3" s="756"/>
      <c r="K3" s="756"/>
    </row>
    <row r="4" ht="9.75" customHeight="1">
      <c r="C4" s="13"/>
    </row>
    <row r="5" spans="2:11" s="17" customFormat="1" ht="15.75">
      <c r="B5" s="758" t="s">
        <v>311</v>
      </c>
      <c r="C5" s="758"/>
      <c r="D5" s="758"/>
      <c r="E5" s="758"/>
      <c r="F5" s="758"/>
      <c r="G5" s="758"/>
      <c r="H5" s="758"/>
      <c r="I5" s="758"/>
      <c r="J5" s="758"/>
      <c r="K5" s="758"/>
    </row>
    <row r="6" spans="2:10" ht="7.5" customHeight="1">
      <c r="B6" s="14"/>
      <c r="C6" s="15"/>
      <c r="D6" s="9"/>
      <c r="F6" s="9"/>
      <c r="G6" s="6"/>
      <c r="H6" s="6"/>
      <c r="I6" s="6"/>
      <c r="J6" s="6"/>
    </row>
    <row r="7" spans="2:11" s="10" customFormat="1" ht="40.5" customHeight="1">
      <c r="B7" s="744" t="s">
        <v>591</v>
      </c>
      <c r="C7" s="744"/>
      <c r="D7" s="744"/>
      <c r="E7" s="744"/>
      <c r="F7" s="744"/>
      <c r="G7" s="744"/>
      <c r="H7" s="744"/>
      <c r="I7" s="744"/>
      <c r="J7" s="744"/>
      <c r="K7" s="744"/>
    </row>
    <row r="8" spans="2:11" s="10" customFormat="1" ht="7.5" customHeight="1">
      <c r="B8" s="39"/>
      <c r="C8" s="39"/>
      <c r="D8" s="39"/>
      <c r="E8" s="39"/>
      <c r="F8" s="39"/>
      <c r="G8" s="39"/>
      <c r="H8" s="39"/>
      <c r="I8" s="39"/>
      <c r="J8" s="39"/>
      <c r="K8" s="39"/>
    </row>
    <row r="9" spans="2:11" s="10" customFormat="1" ht="27" customHeight="1">
      <c r="B9" s="744" t="s">
        <v>175</v>
      </c>
      <c r="C9" s="745"/>
      <c r="D9" s="745"/>
      <c r="E9" s="745"/>
      <c r="F9" s="745"/>
      <c r="G9" s="745"/>
      <c r="H9" s="745"/>
      <c r="I9" s="745"/>
      <c r="J9" s="745"/>
      <c r="K9" s="745"/>
    </row>
    <row r="10" spans="2:11" s="10" customFormat="1" ht="4.5" customHeight="1">
      <c r="B10" s="122"/>
      <c r="C10" s="122"/>
      <c r="D10" s="122"/>
      <c r="E10" s="122"/>
      <c r="F10" s="122"/>
      <c r="G10" s="122"/>
      <c r="H10" s="122"/>
      <c r="I10" s="122"/>
      <c r="J10" s="122"/>
      <c r="K10" s="122"/>
    </row>
    <row r="11" spans="2:11" s="2" customFormat="1" ht="26.25" customHeight="1">
      <c r="B11" s="746" t="s">
        <v>645</v>
      </c>
      <c r="C11" s="746"/>
      <c r="D11" s="746"/>
      <c r="E11" s="746"/>
      <c r="F11" s="746"/>
      <c r="G11" s="746"/>
      <c r="H11" s="746"/>
      <c r="I11" s="746"/>
      <c r="J11" s="746"/>
      <c r="K11" s="746"/>
    </row>
    <row r="12" spans="2:11" s="10" customFormat="1" ht="4.5" customHeight="1">
      <c r="B12" s="39"/>
      <c r="C12" s="39"/>
      <c r="D12" s="39"/>
      <c r="E12" s="39"/>
      <c r="F12" s="39"/>
      <c r="G12" s="39"/>
      <c r="H12" s="39"/>
      <c r="I12" s="39"/>
      <c r="J12" s="39"/>
      <c r="K12" s="39"/>
    </row>
    <row r="13" spans="2:11" s="10" customFormat="1" ht="18.75" customHeight="1">
      <c r="B13" s="760" t="s">
        <v>174</v>
      </c>
      <c r="C13" s="760"/>
      <c r="D13" s="760"/>
      <c r="E13" s="760"/>
      <c r="F13" s="760"/>
      <c r="G13" s="760"/>
      <c r="H13" s="760"/>
      <c r="I13" s="760"/>
      <c r="J13" s="760"/>
      <c r="K13" s="760"/>
    </row>
    <row r="14" spans="2:11" s="10" customFormat="1" ht="4.5" customHeight="1">
      <c r="B14" s="39"/>
      <c r="C14" s="39"/>
      <c r="D14" s="39"/>
      <c r="E14" s="39"/>
      <c r="F14" s="39"/>
      <c r="G14" s="39"/>
      <c r="H14" s="39"/>
      <c r="I14" s="39"/>
      <c r="J14" s="39"/>
      <c r="K14" s="39"/>
    </row>
    <row r="15" spans="2:11" s="50" customFormat="1" ht="26.25" customHeight="1">
      <c r="B15" s="762" t="s">
        <v>584</v>
      </c>
      <c r="C15" s="762"/>
      <c r="D15" s="762"/>
      <c r="E15" s="762"/>
      <c r="F15" s="762"/>
      <c r="G15" s="762"/>
      <c r="H15" s="762"/>
      <c r="I15" s="762"/>
      <c r="J15" s="762"/>
      <c r="K15" s="762"/>
    </row>
    <row r="16" spans="2:11" s="10" customFormat="1" ht="4.5" customHeight="1">
      <c r="B16" s="39"/>
      <c r="C16" s="39"/>
      <c r="D16" s="39"/>
      <c r="E16" s="39"/>
      <c r="F16" s="39"/>
      <c r="G16" s="39"/>
      <c r="H16" s="39"/>
      <c r="I16" s="39"/>
      <c r="J16" s="39"/>
      <c r="K16" s="39"/>
    </row>
    <row r="17" spans="2:11" s="10" customFormat="1" ht="29.25" customHeight="1">
      <c r="B17" s="744" t="s">
        <v>42</v>
      </c>
      <c r="C17" s="744"/>
      <c r="D17" s="744"/>
      <c r="E17" s="744"/>
      <c r="F17" s="744"/>
      <c r="G17" s="744"/>
      <c r="H17" s="744"/>
      <c r="I17" s="744"/>
      <c r="J17" s="744"/>
      <c r="K17" s="744"/>
    </row>
    <row r="18" spans="2:11" s="10" customFormat="1" ht="4.5" customHeight="1">
      <c r="B18" s="122"/>
      <c r="C18" s="122"/>
      <c r="D18" s="122"/>
      <c r="E18" s="122"/>
      <c r="F18" s="122"/>
      <c r="G18" s="122"/>
      <c r="H18" s="122"/>
      <c r="I18" s="122"/>
      <c r="J18" s="122"/>
      <c r="K18" s="122"/>
    </row>
    <row r="19" spans="2:11" s="10" customFormat="1" ht="26.25" customHeight="1">
      <c r="B19" s="744" t="s">
        <v>189</v>
      </c>
      <c r="C19" s="744"/>
      <c r="D19" s="744"/>
      <c r="E19" s="744"/>
      <c r="F19" s="744"/>
      <c r="G19" s="744"/>
      <c r="H19" s="744"/>
      <c r="I19" s="744"/>
      <c r="J19" s="744"/>
      <c r="K19" s="744"/>
    </row>
    <row r="20" spans="2:11" s="10" customFormat="1" ht="4.5" customHeight="1">
      <c r="B20" s="115"/>
      <c r="C20" s="115"/>
      <c r="D20" s="115"/>
      <c r="E20" s="115"/>
      <c r="F20" s="115"/>
      <c r="G20" s="115"/>
      <c r="H20" s="115"/>
      <c r="I20" s="115"/>
      <c r="J20" s="115"/>
      <c r="K20" s="115"/>
    </row>
    <row r="21" spans="2:11" s="10" customFormat="1" ht="26.25" customHeight="1">
      <c r="B21" s="744" t="s">
        <v>513</v>
      </c>
      <c r="C21" s="744"/>
      <c r="D21" s="744"/>
      <c r="E21" s="744"/>
      <c r="F21" s="744"/>
      <c r="G21" s="744"/>
      <c r="H21" s="744"/>
      <c r="I21" s="744"/>
      <c r="J21" s="744"/>
      <c r="K21" s="744"/>
    </row>
    <row r="22" spans="2:11" s="10" customFormat="1" ht="26.25" customHeight="1">
      <c r="B22" s="763" t="s">
        <v>74</v>
      </c>
      <c r="C22" s="763"/>
      <c r="D22" s="763"/>
      <c r="E22" s="763"/>
      <c r="F22" s="763"/>
      <c r="G22" s="763"/>
      <c r="H22" s="763"/>
      <c r="I22" s="763"/>
      <c r="J22" s="763"/>
      <c r="K22" s="763"/>
    </row>
    <row r="23" spans="2:11" s="10" customFormat="1" ht="6.75" customHeight="1">
      <c r="B23" s="124"/>
      <c r="C23" s="39"/>
      <c r="D23" s="39"/>
      <c r="E23" s="39"/>
      <c r="F23" s="39"/>
      <c r="G23" s="39"/>
      <c r="H23" s="39"/>
      <c r="I23" s="39"/>
      <c r="J23" s="39"/>
      <c r="K23" s="39"/>
    </row>
    <row r="24" spans="2:11" s="10" customFormat="1" ht="38.25" customHeight="1">
      <c r="B24" s="744" t="s">
        <v>583</v>
      </c>
      <c r="C24" s="744"/>
      <c r="D24" s="744"/>
      <c r="E24" s="761"/>
      <c r="F24" s="761"/>
      <c r="G24" s="761"/>
      <c r="H24" s="761"/>
      <c r="I24" s="761"/>
      <c r="J24" s="761"/>
      <c r="K24" s="761"/>
    </row>
    <row r="25" spans="2:11" s="10" customFormat="1" ht="8.25" customHeight="1">
      <c r="B25" s="744"/>
      <c r="C25" s="757"/>
      <c r="D25" s="757"/>
      <c r="E25" s="757"/>
      <c r="F25" s="757"/>
      <c r="G25" s="757"/>
      <c r="H25" s="757"/>
      <c r="I25" s="757"/>
      <c r="J25" s="757"/>
      <c r="K25" s="757"/>
    </row>
    <row r="26" spans="2:11" ht="0.75" customHeight="1">
      <c r="B26" s="157"/>
      <c r="C26" s="158"/>
      <c r="D26" s="158"/>
      <c r="E26" s="158"/>
      <c r="F26" s="158"/>
      <c r="G26" s="158"/>
      <c r="H26" s="158"/>
      <c r="I26" s="158"/>
      <c r="J26" s="158"/>
      <c r="K26" s="159"/>
    </row>
    <row r="27" spans="2:11" s="17" customFormat="1" ht="15.75">
      <c r="B27" s="758" t="s">
        <v>312</v>
      </c>
      <c r="C27" s="759"/>
      <c r="D27" s="759"/>
      <c r="E27" s="759"/>
      <c r="F27" s="759"/>
      <c r="G27" s="759"/>
      <c r="H27" s="759"/>
      <c r="I27" s="759"/>
      <c r="J27" s="759"/>
      <c r="K27" s="759"/>
    </row>
    <row r="28" spans="2:11" ht="7.5" customHeight="1">
      <c r="B28" s="90"/>
      <c r="C28" s="37"/>
      <c r="D28" s="90"/>
      <c r="E28" s="37"/>
      <c r="F28" s="90"/>
      <c r="G28" s="37"/>
      <c r="H28" s="90"/>
      <c r="I28" s="37"/>
      <c r="J28" s="90"/>
      <c r="K28" s="37"/>
    </row>
    <row r="29" spans="2:11" ht="7.5" customHeight="1">
      <c r="B29" s="765"/>
      <c r="C29" s="765"/>
      <c r="D29" s="765"/>
      <c r="E29" s="765"/>
      <c r="F29" s="765"/>
      <c r="G29" s="765"/>
      <c r="H29" s="765"/>
      <c r="I29" s="765"/>
      <c r="J29" s="765"/>
      <c r="K29" s="765"/>
    </row>
    <row r="30" spans="2:11" s="50" customFormat="1" ht="15.75" customHeight="1">
      <c r="B30" s="126" t="s">
        <v>313</v>
      </c>
      <c r="C30" s="746" t="s">
        <v>179</v>
      </c>
      <c r="D30" s="746"/>
      <c r="E30" s="746"/>
      <c r="F30" s="746"/>
      <c r="G30" s="746"/>
      <c r="H30" s="746"/>
      <c r="I30" s="746"/>
      <c r="J30" s="746"/>
      <c r="K30" s="746"/>
    </row>
    <row r="31" spans="2:11" s="50" customFormat="1" ht="26.25" customHeight="1">
      <c r="B31" s="126" t="s">
        <v>313</v>
      </c>
      <c r="C31" s="764" t="s">
        <v>592</v>
      </c>
      <c r="D31" s="764"/>
      <c r="E31" s="764"/>
      <c r="F31" s="764"/>
      <c r="G31" s="764"/>
      <c r="H31" s="764"/>
      <c r="I31" s="764"/>
      <c r="J31" s="764"/>
      <c r="K31" s="764"/>
    </row>
    <row r="32" spans="2:11" s="40" customFormat="1" ht="51" customHeight="1">
      <c r="B32" s="126" t="s">
        <v>313</v>
      </c>
      <c r="C32" s="764" t="s">
        <v>101</v>
      </c>
      <c r="D32" s="764"/>
      <c r="E32" s="764"/>
      <c r="F32" s="764"/>
      <c r="G32" s="764"/>
      <c r="H32" s="764"/>
      <c r="I32" s="764"/>
      <c r="J32" s="764"/>
      <c r="K32" s="764"/>
    </row>
    <row r="33" spans="2:11" s="50" customFormat="1" ht="26.25" customHeight="1">
      <c r="B33" s="127" t="s">
        <v>313</v>
      </c>
      <c r="C33" s="767" t="s">
        <v>133</v>
      </c>
      <c r="D33" s="767"/>
      <c r="E33" s="767"/>
      <c r="F33" s="767"/>
      <c r="G33" s="767"/>
      <c r="H33" s="767"/>
      <c r="I33" s="767"/>
      <c r="J33" s="767"/>
      <c r="K33" s="767"/>
    </row>
    <row r="34" spans="2:11" s="50" customFormat="1" ht="27.75" customHeight="1">
      <c r="B34" s="127" t="s">
        <v>313</v>
      </c>
      <c r="C34" s="748" t="s">
        <v>180</v>
      </c>
      <c r="D34" s="748"/>
      <c r="E34" s="748"/>
      <c r="F34" s="748"/>
      <c r="G34" s="748"/>
      <c r="H34" s="748"/>
      <c r="I34" s="748"/>
      <c r="J34" s="748"/>
      <c r="K34" s="748"/>
    </row>
    <row r="35" spans="2:11" s="10" customFormat="1" ht="15.75" customHeight="1">
      <c r="B35" s="127" t="s">
        <v>313</v>
      </c>
      <c r="C35" s="760" t="s">
        <v>181</v>
      </c>
      <c r="D35" s="760"/>
      <c r="E35" s="760"/>
      <c r="F35" s="760"/>
      <c r="G35" s="760"/>
      <c r="H35" s="760"/>
      <c r="I35" s="760"/>
      <c r="J35" s="760"/>
      <c r="K35" s="760"/>
    </row>
    <row r="36" spans="2:11" s="50" customFormat="1" ht="15.75" customHeight="1">
      <c r="B36" s="127" t="s">
        <v>313</v>
      </c>
      <c r="C36" s="766" t="s">
        <v>182</v>
      </c>
      <c r="D36" s="766"/>
      <c r="E36" s="766"/>
      <c r="F36" s="766"/>
      <c r="G36" s="766"/>
      <c r="H36" s="766"/>
      <c r="I36" s="766"/>
      <c r="J36" s="766"/>
      <c r="K36" s="766"/>
    </row>
    <row r="37" spans="2:11" s="50" customFormat="1" ht="14.25" customHeight="1">
      <c r="B37" s="127" t="s">
        <v>313</v>
      </c>
      <c r="C37" s="766" t="s">
        <v>36</v>
      </c>
      <c r="D37" s="766"/>
      <c r="E37" s="766"/>
      <c r="F37" s="766"/>
      <c r="G37" s="766"/>
      <c r="H37" s="766"/>
      <c r="I37" s="766"/>
      <c r="J37" s="766"/>
      <c r="K37" s="766"/>
    </row>
    <row r="38" spans="2:11" s="10" customFormat="1" ht="10.5" customHeight="1">
      <c r="B38" s="127"/>
      <c r="C38" s="760"/>
      <c r="D38" s="760"/>
      <c r="E38" s="760"/>
      <c r="F38" s="760"/>
      <c r="G38" s="760"/>
      <c r="H38" s="760"/>
      <c r="I38" s="760"/>
      <c r="J38" s="760"/>
      <c r="K38" s="760"/>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0" t="s">
        <v>618</v>
      </c>
      <c r="D41" s="612"/>
      <c r="E41" s="612"/>
      <c r="F41" s="612"/>
      <c r="G41" s="612"/>
      <c r="H41" s="612"/>
      <c r="I41" s="612"/>
      <c r="J41" s="612"/>
      <c r="K41" s="612"/>
    </row>
    <row r="42" spans="2:11" s="41" customFormat="1" ht="12.75">
      <c r="B42" s="132" t="s">
        <v>5</v>
      </c>
      <c r="C42" s="600" t="s">
        <v>6</v>
      </c>
      <c r="D42" s="600"/>
      <c r="E42" s="600"/>
      <c r="F42" s="600"/>
      <c r="G42" s="600"/>
      <c r="H42" s="600"/>
      <c r="I42" s="600"/>
      <c r="J42" s="600"/>
      <c r="K42" s="600"/>
    </row>
    <row r="43" spans="2:11" s="41" customFormat="1" ht="14.25" customHeight="1">
      <c r="B43" s="132" t="s">
        <v>5</v>
      </c>
      <c r="C43" s="600" t="s">
        <v>7</v>
      </c>
      <c r="D43" s="128"/>
      <c r="E43" s="128"/>
      <c r="F43" s="128"/>
      <c r="G43" s="128"/>
      <c r="H43" s="128"/>
      <c r="I43" s="128"/>
      <c r="J43" s="128"/>
      <c r="K43" s="128"/>
    </row>
    <row r="44" spans="2:11" s="41" customFormat="1" ht="30" customHeight="1">
      <c r="B44" s="132" t="s">
        <v>5</v>
      </c>
      <c r="C44" s="755" t="s">
        <v>596</v>
      </c>
      <c r="D44" s="755"/>
      <c r="E44" s="755"/>
      <c r="F44" s="755"/>
      <c r="G44" s="755"/>
      <c r="H44" s="755"/>
      <c r="I44" s="755"/>
      <c r="J44" s="755"/>
      <c r="K44" s="755"/>
    </row>
    <row r="45" spans="2:11" s="37" customFormat="1" ht="9.75" customHeight="1">
      <c r="B45" s="133"/>
      <c r="C45" s="134"/>
      <c r="D45" s="135"/>
      <c r="E45" s="135"/>
      <c r="F45" s="135"/>
      <c r="G45" s="135"/>
      <c r="H45" s="135"/>
      <c r="I45" s="135"/>
      <c r="J45" s="135"/>
      <c r="K45" s="135"/>
    </row>
    <row r="46" spans="2:11" s="17" customFormat="1" ht="15.75" customHeight="1">
      <c r="B46" s="768" t="s">
        <v>485</v>
      </c>
      <c r="C46" s="769"/>
      <c r="D46" s="769"/>
      <c r="E46" s="769"/>
      <c r="F46" s="769"/>
      <c r="G46" s="769"/>
      <c r="H46" s="769"/>
      <c r="I46" s="769"/>
      <c r="J46" s="769"/>
      <c r="K46" s="769"/>
    </row>
    <row r="47" spans="2:11" ht="7.5" customHeight="1">
      <c r="B47" s="11"/>
      <c r="C47" s="11"/>
      <c r="D47" s="136"/>
      <c r="E47" s="136"/>
      <c r="F47" s="11"/>
      <c r="G47" s="136"/>
      <c r="H47" s="136"/>
      <c r="I47" s="136"/>
      <c r="J47" s="136"/>
      <c r="K47" s="125"/>
    </row>
    <row r="48" spans="2:12" ht="24" customHeight="1">
      <c r="B48" s="749" t="s">
        <v>178</v>
      </c>
      <c r="C48" s="750"/>
      <c r="D48" s="750"/>
      <c r="E48" s="750"/>
      <c r="F48" s="750"/>
      <c r="G48" s="750"/>
      <c r="H48" s="750"/>
      <c r="I48" s="750"/>
      <c r="J48" s="750"/>
      <c r="K48" s="751"/>
      <c r="L48" s="22"/>
    </row>
    <row r="49" spans="2:11" ht="81" customHeight="1">
      <c r="B49" s="752" t="s">
        <v>245</v>
      </c>
      <c r="C49" s="753"/>
      <c r="D49" s="753"/>
      <c r="E49" s="753"/>
      <c r="F49" s="753"/>
      <c r="G49" s="753"/>
      <c r="H49" s="753"/>
      <c r="I49" s="753"/>
      <c r="J49" s="753"/>
      <c r="K49" s="754"/>
    </row>
    <row r="50" spans="2:11" ht="24" customHeight="1">
      <c r="B50" s="749" t="s">
        <v>86</v>
      </c>
      <c r="C50" s="750"/>
      <c r="D50" s="750"/>
      <c r="E50" s="750"/>
      <c r="F50" s="750"/>
      <c r="G50" s="750"/>
      <c r="H50" s="750"/>
      <c r="I50" s="750"/>
      <c r="J50" s="750"/>
      <c r="K50" s="751"/>
    </row>
    <row r="51" spans="2:11" ht="79.5" customHeight="1">
      <c r="B51" s="752" t="s">
        <v>212</v>
      </c>
      <c r="C51" s="753"/>
      <c r="D51" s="753"/>
      <c r="E51" s="753"/>
      <c r="F51" s="753"/>
      <c r="G51" s="753"/>
      <c r="H51" s="753"/>
      <c r="I51" s="753"/>
      <c r="J51" s="753"/>
      <c r="K51" s="754"/>
    </row>
    <row r="52" spans="2:11" ht="24" customHeight="1">
      <c r="B52" s="749" t="s">
        <v>197</v>
      </c>
      <c r="C52" s="750"/>
      <c r="D52" s="750"/>
      <c r="E52" s="750"/>
      <c r="F52" s="750"/>
      <c r="G52" s="750"/>
      <c r="H52" s="750"/>
      <c r="I52" s="750"/>
      <c r="J52" s="750"/>
      <c r="K52" s="751"/>
    </row>
    <row r="53" spans="2:11" ht="52.5" customHeight="1">
      <c r="B53" s="752" t="s">
        <v>103</v>
      </c>
      <c r="C53" s="753"/>
      <c r="D53" s="753"/>
      <c r="E53" s="753"/>
      <c r="F53" s="753"/>
      <c r="G53" s="753"/>
      <c r="H53" s="753"/>
      <c r="I53" s="753"/>
      <c r="J53" s="753"/>
      <c r="K53" s="754"/>
    </row>
    <row r="54" spans="2:11" ht="24" customHeight="1">
      <c r="B54" s="749" t="s">
        <v>123</v>
      </c>
      <c r="C54" s="750"/>
      <c r="D54" s="750"/>
      <c r="E54" s="750"/>
      <c r="F54" s="750"/>
      <c r="G54" s="750"/>
      <c r="H54" s="750"/>
      <c r="I54" s="750"/>
      <c r="J54" s="750"/>
      <c r="K54" s="751"/>
    </row>
    <row r="55" spans="2:11" ht="51.75" customHeight="1">
      <c r="B55" s="752" t="s">
        <v>204</v>
      </c>
      <c r="C55" s="753"/>
      <c r="D55" s="753"/>
      <c r="E55" s="753"/>
      <c r="F55" s="753"/>
      <c r="G55" s="753"/>
      <c r="H55" s="753"/>
      <c r="I55" s="753"/>
      <c r="J55" s="753"/>
      <c r="K55" s="754"/>
    </row>
    <row r="56" spans="2:11" ht="24" customHeight="1">
      <c r="B56" s="749" t="s">
        <v>124</v>
      </c>
      <c r="C56" s="750"/>
      <c r="D56" s="750"/>
      <c r="E56" s="750"/>
      <c r="F56" s="750"/>
      <c r="G56" s="750"/>
      <c r="H56" s="750"/>
      <c r="I56" s="750"/>
      <c r="J56" s="750"/>
      <c r="K56" s="751"/>
    </row>
    <row r="57" spans="2:11" ht="27" customHeight="1">
      <c r="B57" s="752" t="s">
        <v>10</v>
      </c>
      <c r="C57" s="753"/>
      <c r="D57" s="753"/>
      <c r="E57" s="753"/>
      <c r="F57" s="753"/>
      <c r="G57" s="753"/>
      <c r="H57" s="753"/>
      <c r="I57" s="753"/>
      <c r="J57" s="753"/>
      <c r="K57" s="754"/>
    </row>
    <row r="58" spans="2:11" s="17" customFormat="1" ht="24" customHeight="1">
      <c r="B58" s="749" t="s">
        <v>198</v>
      </c>
      <c r="C58" s="750"/>
      <c r="D58" s="750"/>
      <c r="E58" s="750"/>
      <c r="F58" s="750"/>
      <c r="G58" s="750"/>
      <c r="H58" s="750"/>
      <c r="I58" s="750"/>
      <c r="J58" s="750"/>
      <c r="K58" s="751"/>
    </row>
    <row r="59" spans="2:11" ht="52.5" customHeight="1">
      <c r="B59" s="752" t="s">
        <v>104</v>
      </c>
      <c r="C59" s="753"/>
      <c r="D59" s="753"/>
      <c r="E59" s="753"/>
      <c r="F59" s="753"/>
      <c r="G59" s="753"/>
      <c r="H59" s="753"/>
      <c r="I59" s="753"/>
      <c r="J59" s="753"/>
      <c r="K59" s="754"/>
    </row>
    <row r="60" spans="2:11" ht="24" customHeight="1">
      <c r="B60" s="128"/>
      <c r="C60" s="128"/>
      <c r="D60" s="128"/>
      <c r="E60" s="128"/>
      <c r="F60" s="128"/>
      <c r="G60" s="128"/>
      <c r="H60" s="128"/>
      <c r="I60" s="128"/>
      <c r="J60" s="128"/>
      <c r="K60" s="128"/>
    </row>
    <row r="61" spans="2:11" ht="15.75" customHeight="1">
      <c r="B61" s="747" t="s">
        <v>269</v>
      </c>
      <c r="C61" s="747"/>
      <c r="D61" s="747"/>
      <c r="E61" s="747"/>
      <c r="F61" s="747"/>
      <c r="G61" s="747"/>
      <c r="H61" s="747"/>
      <c r="I61" s="747"/>
      <c r="J61" s="747"/>
      <c r="K61" s="747"/>
    </row>
    <row r="62" spans="2:11" ht="24" customHeight="1">
      <c r="B62" s="10"/>
      <c r="C62" s="10"/>
      <c r="D62" s="10"/>
      <c r="E62" s="10"/>
      <c r="F62" s="10"/>
      <c r="G62" s="10"/>
      <c r="H62" s="10"/>
      <c r="I62" s="10"/>
      <c r="J62" s="10"/>
      <c r="K62" s="10"/>
    </row>
    <row r="63" spans="2:11" ht="24" customHeight="1">
      <c r="B63" s="10"/>
      <c r="C63" s="586" t="s">
        <v>271</v>
      </c>
      <c r="D63" s="590" t="s">
        <v>282</v>
      </c>
      <c r="E63" s="588" t="s">
        <v>283</v>
      </c>
      <c r="F63" s="10"/>
      <c r="G63" s="10"/>
      <c r="H63" s="10"/>
      <c r="I63" s="10"/>
      <c r="J63" s="10"/>
      <c r="K63" s="10"/>
    </row>
    <row r="64" spans="3:5" s="10" customFormat="1" ht="12.75">
      <c r="C64" s="587" t="s">
        <v>265</v>
      </c>
      <c r="D64" s="591" t="s">
        <v>267</v>
      </c>
      <c r="E64" s="589">
        <v>4.54609</v>
      </c>
    </row>
    <row r="65" spans="2:11" ht="12.75">
      <c r="B65" s="10"/>
      <c r="C65" s="587" t="s">
        <v>266</v>
      </c>
      <c r="D65" s="591" t="s">
        <v>267</v>
      </c>
      <c r="E65" s="589">
        <v>3.785411784</v>
      </c>
      <c r="F65" s="10"/>
      <c r="G65" s="10"/>
      <c r="H65" s="10"/>
      <c r="I65" s="10"/>
      <c r="J65" s="10"/>
      <c r="K65" s="10"/>
    </row>
    <row r="66" spans="2:11" ht="14.25">
      <c r="B66" s="10"/>
      <c r="C66" s="587" t="s">
        <v>270</v>
      </c>
      <c r="D66" s="591" t="s">
        <v>267</v>
      </c>
      <c r="E66" s="589">
        <v>1000</v>
      </c>
      <c r="F66" s="10"/>
      <c r="G66" s="10"/>
      <c r="H66" s="10"/>
      <c r="I66" s="10"/>
      <c r="J66" s="10"/>
      <c r="K66" s="10"/>
    </row>
    <row r="67" spans="2:11" ht="14.25">
      <c r="B67" s="10"/>
      <c r="C67" s="587" t="s">
        <v>71</v>
      </c>
      <c r="D67" s="592" t="s">
        <v>270</v>
      </c>
      <c r="E67" s="589">
        <v>0.001</v>
      </c>
      <c r="F67" s="10"/>
      <c r="G67" s="10"/>
      <c r="H67" s="10"/>
      <c r="I67" s="10"/>
      <c r="J67" s="10"/>
      <c r="K67" s="10"/>
    </row>
    <row r="68" spans="2:11" ht="12.75">
      <c r="B68" s="10"/>
      <c r="C68" s="587" t="s">
        <v>268</v>
      </c>
      <c r="D68" s="591" t="s">
        <v>267</v>
      </c>
      <c r="E68" s="589">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70" t="s">
        <v>305</v>
      </c>
      <c r="C3" s="770"/>
      <c r="D3" s="770"/>
    </row>
    <row r="4" spans="2:4" ht="12.75" customHeight="1">
      <c r="B4" s="97"/>
      <c r="C4" s="137"/>
      <c r="D4" s="138"/>
    </row>
    <row r="5" spans="2:4" ht="15.75">
      <c r="B5" s="771" t="s">
        <v>131</v>
      </c>
      <c r="C5" s="771"/>
      <c r="D5" s="771"/>
    </row>
    <row r="6" spans="2:7" s="11" customFormat="1" ht="40.5" customHeight="1" thickBot="1">
      <c r="B6" s="773" t="s">
        <v>558</v>
      </c>
      <c r="C6" s="774"/>
      <c r="D6" s="774"/>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67"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68" t="s">
        <v>526</v>
      </c>
      <c r="E13" s="100"/>
      <c r="F13" s="99"/>
      <c r="G13" s="99"/>
    </row>
    <row r="14" spans="2:7" s="11" customFormat="1" ht="26.25" customHeight="1">
      <c r="B14" s="153" t="s">
        <v>530</v>
      </c>
      <c r="C14" s="143" t="s">
        <v>547</v>
      </c>
      <c r="D14" s="569" t="s">
        <v>548</v>
      </c>
      <c r="E14" s="100"/>
      <c r="F14" s="99"/>
      <c r="G14" s="99"/>
    </row>
    <row r="15" spans="2:7" s="11" customFormat="1" ht="54" customHeight="1" thickBot="1">
      <c r="B15" s="570" t="s">
        <v>527</v>
      </c>
      <c r="C15" s="156" t="s">
        <v>528</v>
      </c>
      <c r="D15" s="571" t="s">
        <v>529</v>
      </c>
      <c r="E15" s="100"/>
      <c r="F15" s="99"/>
      <c r="G15" s="99"/>
    </row>
    <row r="16" spans="2:4" ht="21.75" customHeight="1">
      <c r="B16" s="146"/>
      <c r="C16" s="137"/>
      <c r="D16" s="138"/>
    </row>
    <row r="17" spans="2:4" ht="18" customHeight="1" thickBot="1">
      <c r="B17" s="772" t="s">
        <v>303</v>
      </c>
      <c r="C17" s="772"/>
      <c r="D17" s="772"/>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1" t="s">
        <v>630</v>
      </c>
      <c r="E29" s="98">
        <v>22</v>
      </c>
      <c r="G29" s="99" t="s">
        <v>172</v>
      </c>
    </row>
    <row r="30" spans="2:7" s="11" customFormat="1" ht="64.5" customHeight="1">
      <c r="B30" s="150" t="s">
        <v>79</v>
      </c>
      <c r="C30" s="143" t="s">
        <v>25</v>
      </c>
      <c r="D30" s="601" t="s">
        <v>631</v>
      </c>
      <c r="E30" s="98"/>
      <c r="F30" s="99"/>
      <c r="G30" s="99"/>
    </row>
    <row r="31" spans="2:5" ht="21" customHeight="1">
      <c r="B31" s="153" t="s">
        <v>202</v>
      </c>
      <c r="C31" s="143" t="s">
        <v>201</v>
      </c>
      <c r="D31" s="601" t="s">
        <v>624</v>
      </c>
      <c r="E31" s="98">
        <v>9</v>
      </c>
    </row>
    <row r="32" spans="2:7" s="11" customFormat="1" ht="15.75" customHeight="1">
      <c r="B32" s="150" t="s">
        <v>32</v>
      </c>
      <c r="C32" s="143" t="s">
        <v>213</v>
      </c>
      <c r="D32" s="601" t="s">
        <v>214</v>
      </c>
      <c r="E32" s="98"/>
      <c r="F32" s="99"/>
      <c r="G32" s="99"/>
    </row>
    <row r="33" spans="2:7" s="11" customFormat="1" ht="57" customHeight="1">
      <c r="B33" s="599" t="s">
        <v>203</v>
      </c>
      <c r="C33" s="598" t="s">
        <v>632</v>
      </c>
      <c r="D33" s="615" t="s">
        <v>633</v>
      </c>
      <c r="E33" s="98"/>
      <c r="F33" s="99"/>
      <c r="G33" s="99"/>
    </row>
    <row r="34" spans="2:7" s="11" customFormat="1" ht="25.5">
      <c r="B34" s="599" t="s">
        <v>215</v>
      </c>
      <c r="C34" s="598" t="s">
        <v>598</v>
      </c>
      <c r="D34" s="615" t="s">
        <v>621</v>
      </c>
      <c r="E34" s="98"/>
      <c r="F34" s="99"/>
      <c r="G34" s="99"/>
    </row>
    <row r="35" spans="2:7" s="11" customFormat="1" ht="12.75">
      <c r="B35" s="599" t="s">
        <v>280</v>
      </c>
      <c r="C35" s="598" t="s">
        <v>607</v>
      </c>
      <c r="D35" s="615" t="s">
        <v>622</v>
      </c>
      <c r="E35" s="98"/>
      <c r="F35" s="99"/>
      <c r="G35" s="99"/>
    </row>
    <row r="36" spans="2:7" s="11" customFormat="1" ht="65.25" customHeight="1">
      <c r="B36" s="153" t="s">
        <v>281</v>
      </c>
      <c r="C36" s="602" t="s">
        <v>93</v>
      </c>
      <c r="D36" s="152" t="s">
        <v>134</v>
      </c>
      <c r="E36" s="98">
        <v>25</v>
      </c>
      <c r="F36" s="99"/>
      <c r="G36" s="99"/>
    </row>
    <row r="37" spans="2:7" s="11" customFormat="1" ht="30" customHeight="1">
      <c r="B37" s="153" t="s">
        <v>608</v>
      </c>
      <c r="C37" s="602" t="s">
        <v>94</v>
      </c>
      <c r="D37" s="152" t="s">
        <v>460</v>
      </c>
      <c r="E37" s="98"/>
      <c r="F37" s="99"/>
      <c r="G37" s="99"/>
    </row>
    <row r="38" spans="2:7" s="11" customFormat="1" ht="42" customHeight="1">
      <c r="B38" s="153" t="s">
        <v>216</v>
      </c>
      <c r="C38" s="602"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2" t="s">
        <v>531</v>
      </c>
      <c r="D40" s="152" t="s">
        <v>540</v>
      </c>
      <c r="E40" s="98"/>
      <c r="F40" s="99"/>
      <c r="G40" s="99"/>
    </row>
    <row r="41" spans="2:7" s="11" customFormat="1" ht="42" customHeight="1">
      <c r="B41" s="153" t="s">
        <v>227</v>
      </c>
      <c r="C41" s="602" t="s">
        <v>96</v>
      </c>
      <c r="D41" s="152" t="s">
        <v>462</v>
      </c>
      <c r="E41" s="98"/>
      <c r="F41" s="99"/>
      <c r="G41" s="99"/>
    </row>
    <row r="42" spans="2:7" s="11" customFormat="1" ht="42" customHeight="1">
      <c r="B42" s="153" t="s">
        <v>228</v>
      </c>
      <c r="C42" s="602" t="s">
        <v>532</v>
      </c>
      <c r="D42" s="152" t="s">
        <v>549</v>
      </c>
      <c r="E42" s="98"/>
      <c r="F42" s="99"/>
      <c r="G42" s="99"/>
    </row>
    <row r="43" spans="2:7" s="11" customFormat="1" ht="42" customHeight="1">
      <c r="B43" s="153" t="s">
        <v>229</v>
      </c>
      <c r="C43" s="602" t="s">
        <v>560</v>
      </c>
      <c r="D43" s="152" t="s">
        <v>105</v>
      </c>
      <c r="E43" s="98"/>
      <c r="F43" s="99"/>
      <c r="G43" s="99"/>
    </row>
    <row r="44" spans="2:7" s="11" customFormat="1" ht="42" customHeight="1">
      <c r="B44" s="153" t="s">
        <v>230</v>
      </c>
      <c r="C44" s="602" t="s">
        <v>533</v>
      </c>
      <c r="D44" s="152" t="s">
        <v>541</v>
      </c>
      <c r="E44" s="98"/>
      <c r="F44" s="99"/>
      <c r="G44" s="99"/>
    </row>
    <row r="45" spans="2:7" s="11" customFormat="1" ht="38.25" customHeight="1">
      <c r="B45" s="153" t="s">
        <v>610</v>
      </c>
      <c r="C45" s="602"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16" t="s">
        <v>187</v>
      </c>
      <c r="C50" s="598" t="s">
        <v>171</v>
      </c>
      <c r="D50" s="617" t="s">
        <v>634</v>
      </c>
      <c r="E50" s="98"/>
      <c r="F50" s="99"/>
      <c r="G50" s="99"/>
    </row>
    <row r="51" spans="2:7" s="11" customFormat="1" ht="28.5" customHeight="1">
      <c r="B51" s="618" t="s">
        <v>620</v>
      </c>
      <c r="C51" s="618" t="s">
        <v>69</v>
      </c>
      <c r="D51" s="619"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2" t="s">
        <v>234</v>
      </c>
      <c r="D53" s="152" t="s">
        <v>107</v>
      </c>
      <c r="E53" s="98"/>
      <c r="F53" s="99"/>
      <c r="G53" s="99"/>
    </row>
    <row r="54" spans="2:7" s="11" customFormat="1" ht="38.25">
      <c r="B54" s="603" t="s">
        <v>542</v>
      </c>
      <c r="C54" s="604" t="s">
        <v>112</v>
      </c>
      <c r="D54" s="605" t="s">
        <v>113</v>
      </c>
      <c r="E54" s="98"/>
      <c r="F54" s="99"/>
      <c r="G54" s="99"/>
    </row>
    <row r="55" spans="2:7" s="11" customFormat="1" ht="39" customHeight="1">
      <c r="B55" s="154" t="s">
        <v>638</v>
      </c>
      <c r="C55" s="606" t="s">
        <v>543</v>
      </c>
      <c r="D55" s="152" t="s">
        <v>562</v>
      </c>
      <c r="E55" s="98"/>
      <c r="F55" s="99"/>
      <c r="G55" s="99"/>
    </row>
    <row r="56" spans="2:7" s="11" customFormat="1" ht="33.75" customHeight="1">
      <c r="B56" s="154" t="s">
        <v>534</v>
      </c>
      <c r="C56" s="606" t="s">
        <v>114</v>
      </c>
      <c r="D56" s="152" t="s">
        <v>188</v>
      </c>
      <c r="E56" s="98"/>
      <c r="F56" s="99"/>
      <c r="G56" s="99"/>
    </row>
    <row r="57" spans="2:7" s="11" customFormat="1" ht="45" customHeight="1">
      <c r="B57" s="154" t="s">
        <v>545</v>
      </c>
      <c r="C57" s="606" t="s">
        <v>544</v>
      </c>
      <c r="D57" s="152" t="s">
        <v>546</v>
      </c>
      <c r="E57" s="98"/>
      <c r="F57" s="99"/>
      <c r="G57" s="99"/>
    </row>
    <row r="58" spans="2:7" s="11" customFormat="1" ht="42" customHeight="1">
      <c r="B58" s="153" t="s">
        <v>535</v>
      </c>
      <c r="C58" s="602" t="s">
        <v>115</v>
      </c>
      <c r="D58" s="152" t="s">
        <v>108</v>
      </c>
      <c r="E58" s="98"/>
      <c r="F58" s="99"/>
      <c r="G58" s="99"/>
    </row>
    <row r="59" spans="2:7" s="11" customFormat="1" ht="36.75" customHeight="1">
      <c r="B59" s="154" t="s">
        <v>613</v>
      </c>
      <c r="C59" s="606" t="s">
        <v>563</v>
      </c>
      <c r="D59" s="152" t="s">
        <v>594</v>
      </c>
      <c r="E59" s="98"/>
      <c r="F59" s="99"/>
      <c r="G59" s="99"/>
    </row>
    <row r="60" spans="2:7" s="11" customFormat="1" ht="35.25" customHeight="1">
      <c r="B60" s="150" t="s">
        <v>614</v>
      </c>
      <c r="C60" s="602" t="s">
        <v>116</v>
      </c>
      <c r="D60" s="152" t="s">
        <v>467</v>
      </c>
      <c r="E60" s="98"/>
      <c r="F60" s="99"/>
      <c r="G60" s="99"/>
    </row>
    <row r="61" spans="1:5" ht="29.25" customHeight="1">
      <c r="A61" s="11"/>
      <c r="B61" s="153" t="s">
        <v>235</v>
      </c>
      <c r="C61" s="143" t="s">
        <v>14</v>
      </c>
      <c r="D61" s="152" t="s">
        <v>139</v>
      </c>
      <c r="E61" s="98">
        <v>27</v>
      </c>
    </row>
    <row r="62" spans="1:4" ht="38.25" customHeight="1">
      <c r="A62" s="11"/>
      <c r="B62" s="598" t="s">
        <v>619</v>
      </c>
      <c r="C62" s="598" t="s">
        <v>15</v>
      </c>
      <c r="D62" s="619"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01" t="s">
        <v>561</v>
      </c>
      <c r="E67" s="98">
        <v>18</v>
      </c>
      <c r="F67" s="99"/>
      <c r="G67" s="99"/>
    </row>
    <row r="68" spans="2:7" s="11" customFormat="1" ht="30" customHeight="1">
      <c r="B68" s="153" t="s">
        <v>550</v>
      </c>
      <c r="C68" s="602" t="s">
        <v>22</v>
      </c>
      <c r="D68" s="601"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1"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0"/>
      <c r="C80" s="143" t="s">
        <v>256</v>
      </c>
      <c r="D80" s="152" t="s">
        <v>257</v>
      </c>
      <c r="E80" s="98">
        <v>48</v>
      </c>
      <c r="F80" s="99"/>
      <c r="G80" s="99"/>
    </row>
    <row r="81" spans="2:16" ht="39.75" customHeight="1">
      <c r="B81" s="611"/>
      <c r="C81" s="155" t="s">
        <v>177</v>
      </c>
      <c r="D81" s="613" t="s">
        <v>275</v>
      </c>
      <c r="E81" s="98">
        <v>49</v>
      </c>
      <c r="H81" s="11"/>
      <c r="I81" s="11"/>
      <c r="J81" s="11"/>
      <c r="K81" s="11"/>
      <c r="L81" s="11"/>
      <c r="M81" s="11"/>
      <c r="N81" s="11"/>
      <c r="O81" s="11"/>
      <c r="P81" s="11"/>
    </row>
    <row r="82" spans="2:16" ht="25.5" customHeight="1" thickBot="1">
      <c r="B82" s="607"/>
      <c r="C82" s="156" t="s">
        <v>497</v>
      </c>
      <c r="D82" s="614"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79" t="s">
        <v>194</v>
      </c>
      <c r="E2" s="779"/>
      <c r="F2" s="779"/>
      <c r="G2" s="779"/>
      <c r="H2" s="779"/>
      <c r="I2" s="779"/>
      <c r="J2" s="779"/>
      <c r="K2" s="779"/>
      <c r="L2" s="779"/>
      <c r="M2" s="779"/>
      <c r="N2" s="779"/>
      <c r="O2" s="779"/>
      <c r="P2" s="779"/>
      <c r="Q2" s="779"/>
      <c r="R2" s="779"/>
      <c r="S2" s="779"/>
      <c r="T2" s="779"/>
      <c r="U2" s="779"/>
      <c r="V2" s="779"/>
      <c r="W2" s="779"/>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80" t="s">
        <v>253</v>
      </c>
      <c r="E3" s="780"/>
      <c r="F3" s="780"/>
      <c r="G3" s="780"/>
      <c r="H3" s="780"/>
      <c r="I3" s="780"/>
      <c r="J3" s="780"/>
      <c r="K3" s="780"/>
      <c r="L3" s="780"/>
      <c r="M3" s="780"/>
      <c r="N3" s="780"/>
      <c r="O3" s="780"/>
      <c r="P3" s="780"/>
      <c r="Q3" s="780"/>
      <c r="R3" s="780"/>
      <c r="S3" s="780"/>
      <c r="T3" s="780"/>
      <c r="U3" s="780"/>
      <c r="V3" s="780"/>
      <c r="W3" s="780"/>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1" t="str">
        <f>LEFT('W1'!D10,LEN('W1'!D10)-7)&amp;" (W1,3)"</f>
        <v>Internal flow (W1,3)</v>
      </c>
      <c r="G10" s="782"/>
      <c r="H10" s="83"/>
      <c r="J10" s="83"/>
      <c r="K10" s="83"/>
      <c r="L10" s="83"/>
      <c r="M10" s="83"/>
      <c r="N10" s="83"/>
      <c r="O10" s="83"/>
      <c r="P10" s="83"/>
      <c r="Q10" s="785" t="s">
        <v>75</v>
      </c>
      <c r="R10" s="775" t="s">
        <v>79</v>
      </c>
      <c r="S10" s="776"/>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87" t="str">
        <f>'W1'!D13&amp;" (W1,6)"</f>
        <v>Outflow of surface and groundwaters to neighbouring countries (W1,6)</v>
      </c>
      <c r="J11" s="788"/>
      <c r="K11" s="83"/>
      <c r="L11" s="86"/>
      <c r="M11" s="86"/>
      <c r="N11" s="86"/>
      <c r="O11" s="83"/>
      <c r="P11" s="83"/>
      <c r="Q11" s="786"/>
      <c r="R11" s="777"/>
      <c r="S11" s="778"/>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87" t="str">
        <f>'W1'!D16&amp;" (W1,9)"</f>
        <v>Outflow of surface and groundwaters to the sea (W1,9)</v>
      </c>
      <c r="J13" s="788"/>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89" t="str">
        <f>'W2'!D13</f>
        <v>of which abstracted by:</v>
      </c>
      <c r="E15" s="790"/>
      <c r="F15" s="790"/>
      <c r="G15" s="790"/>
      <c r="H15" s="790"/>
      <c r="I15" s="790"/>
      <c r="J15" s="790"/>
      <c r="K15" s="791"/>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3" t="str">
        <f>LEFT('W2'!D10,LEN('W2'!D10)-7)&amp;" (W2,3)"</f>
        <v>Gross freshwater abstracted (W2,3)</v>
      </c>
      <c r="E19" s="793"/>
      <c r="F19" s="793"/>
      <c r="G19" s="793"/>
      <c r="H19" s="793"/>
      <c r="I19" s="793"/>
      <c r="J19" s="793"/>
      <c r="K19" s="784"/>
      <c r="L19" s="83"/>
      <c r="M19" s="83"/>
      <c r="N19" s="83"/>
      <c r="O19" s="38"/>
      <c r="P19" s="83"/>
      <c r="Q19" s="83"/>
      <c r="R19" s="83"/>
      <c r="S19" s="83"/>
      <c r="T19" s="83"/>
      <c r="U19" s="597"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27"/>
      <c r="I21" s="627"/>
      <c r="J21" s="783" t="str">
        <f>LEFT('W2'!D12,LEN('W2'!D12)-7)&amp;" (W2,5)"</f>
        <v>Net freshwater abstracted (W2,5)</v>
      </c>
      <c r="K21" s="784"/>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98" t="str">
        <f>LEFT('W2'!D28,LEN('W2'!D28)-17)&amp;" (W2,20)"</f>
        <v>Total freshwater available for use (W2,20)</v>
      </c>
      <c r="P22" s="83"/>
      <c r="Q22" s="798"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2"/>
      <c r="E23" s="792"/>
      <c r="F23" s="83"/>
      <c r="G23" s="783" t="str">
        <f>'W2'!D11&amp;" (W2,4)"</f>
        <v>Water returned without use (W2,4)</v>
      </c>
      <c r="H23" s="784"/>
      <c r="J23" s="783" t="str">
        <f>'W2'!D24&amp;" (W2,16)"</f>
        <v>Desalinated water (W2,16)</v>
      </c>
      <c r="K23" s="784"/>
      <c r="L23" s="83"/>
      <c r="M23" s="38"/>
      <c r="N23" s="83"/>
      <c r="O23" s="799"/>
      <c r="P23" s="83"/>
      <c r="Q23" s="799"/>
      <c r="R23" s="796" t="str">
        <f>'W2'!D31</f>
        <v>of which used by:</v>
      </c>
      <c r="S23" s="797"/>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3" t="str">
        <f>'W2'!D25&amp;" (W2,17)"</f>
        <v>Reused water (W2,17)</v>
      </c>
      <c r="K25" s="784"/>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4"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3" t="str">
        <f>'W2'!D26&amp;" - "&amp;'W2'!D27&amp;" (= W2,18 - W2,19)"</f>
        <v>Imports of water - Exports of water (= W2,18 - W2,19)</v>
      </c>
      <c r="K27" s="784"/>
      <c r="L27" s="83"/>
      <c r="M27" s="83"/>
      <c r="N27" s="83"/>
      <c r="O27" s="38"/>
      <c r="P27" s="795"/>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0" zoomScaleNormal="80" zoomScaleSheetLayoutView="55" zoomScalePageLayoutView="70" workbookViewId="0" topLeftCell="A7">
      <selection activeCell="F8" sqref="F8"/>
    </sheetView>
  </sheetViews>
  <sheetFormatPr defaultColWidth="12" defaultRowHeight="12.75"/>
  <cols>
    <col min="1" max="1" width="6.16015625" style="162" customWidth="1"/>
    <col min="2" max="2" width="8.16015625" style="163"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6" customWidth="1"/>
    <col min="54" max="54" width="5.33203125" style="646" customWidth="1"/>
    <col min="55" max="55" width="24.16015625" style="646" customWidth="1"/>
    <col min="56" max="56" width="8" style="646" customWidth="1"/>
    <col min="57" max="57" width="9.33203125" style="646" customWidth="1"/>
    <col min="58" max="58" width="5" style="646" customWidth="1"/>
    <col min="59" max="59" width="5.33203125" style="646" customWidth="1"/>
    <col min="60" max="60" width="5.66015625" style="646" customWidth="1"/>
    <col min="61" max="74" width="5" style="646" customWidth="1"/>
    <col min="75" max="79" width="5.16015625" style="646" customWidth="1"/>
    <col min="80" max="80" width="3.33203125" style="566" customWidth="1"/>
    <col min="81" max="81" width="9.83203125" style="566" customWidth="1"/>
    <col min="82" max="82" width="16.33203125" style="566" bestFit="1" customWidth="1"/>
    <col min="83" max="83" width="15.83203125" style="566" bestFit="1" customWidth="1"/>
    <col min="84" max="84" width="16.33203125" style="566" bestFit="1" customWidth="1"/>
    <col min="85" max="85" width="13.33203125" style="566" customWidth="1"/>
    <col min="86" max="86" width="15.33203125" style="566"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47"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344</v>
      </c>
      <c r="C3" s="185" t="s">
        <v>296</v>
      </c>
      <c r="D3" s="512" t="s">
        <v>651</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48" t="s">
        <v>49</v>
      </c>
    </row>
    <row r="4" spans="3:54" ht="2.25" customHeight="1">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B4" s="649"/>
    </row>
    <row r="5" spans="1:86" s="196" customFormat="1" ht="17.25" customHeight="1">
      <c r="A5" s="192"/>
      <c r="B5" s="163">
        <v>1</v>
      </c>
      <c r="C5" s="811" t="s">
        <v>436</v>
      </c>
      <c r="D5" s="811"/>
      <c r="E5" s="812"/>
      <c r="F5" s="812"/>
      <c r="G5" s="812"/>
      <c r="H5" s="813"/>
      <c r="I5" s="813"/>
      <c r="J5" s="813"/>
      <c r="K5" s="813"/>
      <c r="L5" s="813"/>
      <c r="M5" s="813"/>
      <c r="N5" s="813"/>
      <c r="O5" s="813"/>
      <c r="P5" s="813"/>
      <c r="Q5" s="813"/>
      <c r="R5" s="813"/>
      <c r="S5" s="813"/>
      <c r="T5" s="813"/>
      <c r="U5" s="813"/>
      <c r="V5" s="813"/>
      <c r="W5" s="812"/>
      <c r="X5" s="813"/>
      <c r="Y5" s="812"/>
      <c r="Z5" s="813"/>
      <c r="AA5" s="812"/>
      <c r="AB5" s="813"/>
      <c r="AC5" s="812"/>
      <c r="AD5" s="813"/>
      <c r="AE5" s="812"/>
      <c r="AF5" s="813"/>
      <c r="AG5" s="812"/>
      <c r="AH5" s="813"/>
      <c r="AI5" s="813"/>
      <c r="AJ5" s="813"/>
      <c r="AK5" s="812"/>
      <c r="AL5" s="813"/>
      <c r="AM5" s="812"/>
      <c r="AN5" s="813"/>
      <c r="AO5" s="812"/>
      <c r="AP5" s="812"/>
      <c r="AQ5" s="812"/>
      <c r="AR5" s="812"/>
      <c r="AS5" s="812"/>
      <c r="AT5" s="813"/>
      <c r="AU5" s="193"/>
      <c r="AV5" s="194"/>
      <c r="AW5" s="194"/>
      <c r="AX5" s="194"/>
      <c r="AY5" s="193"/>
      <c r="AZ5" s="194"/>
      <c r="BA5" s="650"/>
      <c r="BB5" s="651" t="s">
        <v>50</v>
      </c>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489"/>
      <c r="CC5" s="810"/>
      <c r="CD5" s="810"/>
      <c r="CE5" s="810"/>
      <c r="CF5" s="810"/>
      <c r="CG5" s="566"/>
      <c r="CH5" s="566"/>
    </row>
    <row r="6" spans="5:86" ht="15.75" customHeight="1">
      <c r="E6" s="198"/>
      <c r="F6" s="199"/>
      <c r="H6" s="585" t="s">
        <v>490</v>
      </c>
      <c r="Z6" s="203"/>
      <c r="AB6" s="820"/>
      <c r="AC6" s="821"/>
      <c r="AD6" s="821"/>
      <c r="AE6" s="821"/>
      <c r="AF6" s="821"/>
      <c r="AG6" s="821"/>
      <c r="AH6" s="821"/>
      <c r="AI6" s="821"/>
      <c r="AJ6" s="821"/>
      <c r="AK6" s="822"/>
      <c r="AL6" s="822"/>
      <c r="AM6" s="822"/>
      <c r="AN6" s="822"/>
      <c r="AO6" s="205"/>
      <c r="AP6" s="205"/>
      <c r="AQ6" s="205"/>
      <c r="AR6" s="205"/>
      <c r="AS6" s="205"/>
      <c r="AT6" s="205"/>
      <c r="AU6" s="205"/>
      <c r="AV6" s="205"/>
      <c r="AW6" s="205"/>
      <c r="AX6" s="205"/>
      <c r="AY6" s="205"/>
      <c r="AZ6" s="206"/>
      <c r="BB6" s="652" t="s">
        <v>76</v>
      </c>
      <c r="CC6" s="640" t="s">
        <v>318</v>
      </c>
      <c r="CD6" s="640" t="s">
        <v>319</v>
      </c>
      <c r="CE6" s="640" t="s">
        <v>320</v>
      </c>
      <c r="CF6" s="640" t="s">
        <v>483</v>
      </c>
      <c r="CG6" s="640" t="s">
        <v>321</v>
      </c>
      <c r="CH6" s="640" t="s">
        <v>322</v>
      </c>
    </row>
    <row r="7" spans="1:86" s="210" customFormat="1" ht="60.75" customHeight="1">
      <c r="A7" s="207"/>
      <c r="B7" s="208">
        <v>2</v>
      </c>
      <c r="C7" s="638" t="s">
        <v>286</v>
      </c>
      <c r="D7" s="638" t="s">
        <v>287</v>
      </c>
      <c r="E7" s="638" t="s">
        <v>290</v>
      </c>
      <c r="F7" s="638" t="s">
        <v>314</v>
      </c>
      <c r="G7" s="638"/>
      <c r="H7" s="638">
        <v>2000</v>
      </c>
      <c r="I7" s="638"/>
      <c r="J7" s="638">
        <v>2001</v>
      </c>
      <c r="K7" s="638"/>
      <c r="L7" s="638">
        <v>2002</v>
      </c>
      <c r="M7" s="638"/>
      <c r="N7" s="638">
        <v>2003</v>
      </c>
      <c r="O7" s="638"/>
      <c r="P7" s="638">
        <v>2004</v>
      </c>
      <c r="Q7" s="638"/>
      <c r="R7" s="638">
        <v>2005</v>
      </c>
      <c r="S7" s="638"/>
      <c r="T7" s="638">
        <v>2006</v>
      </c>
      <c r="U7" s="638"/>
      <c r="V7" s="638">
        <v>2007</v>
      </c>
      <c r="W7" s="638"/>
      <c r="X7" s="638">
        <v>2008</v>
      </c>
      <c r="Y7" s="638"/>
      <c r="Z7" s="638">
        <v>2009</v>
      </c>
      <c r="AA7" s="638"/>
      <c r="AB7" s="638">
        <v>2010</v>
      </c>
      <c r="AC7" s="638"/>
      <c r="AD7" s="638">
        <v>2011</v>
      </c>
      <c r="AE7" s="638"/>
      <c r="AF7" s="638">
        <v>2012</v>
      </c>
      <c r="AG7" s="638"/>
      <c r="AH7" s="638">
        <v>2013</v>
      </c>
      <c r="AI7" s="638"/>
      <c r="AJ7" s="638">
        <v>2014</v>
      </c>
      <c r="AK7" s="638"/>
      <c r="AL7" s="638">
        <v>2015</v>
      </c>
      <c r="AM7" s="638"/>
      <c r="AN7" s="638">
        <v>2016</v>
      </c>
      <c r="AO7" s="638"/>
      <c r="AP7" s="638">
        <v>2017</v>
      </c>
      <c r="AQ7" s="638"/>
      <c r="AR7" s="638">
        <v>2018</v>
      </c>
      <c r="AS7" s="638"/>
      <c r="AT7" s="638">
        <v>2019</v>
      </c>
      <c r="AU7" s="638"/>
      <c r="AV7" s="638">
        <v>2020</v>
      </c>
      <c r="AW7" s="638"/>
      <c r="AX7" s="638">
        <v>2021</v>
      </c>
      <c r="AY7" s="638"/>
      <c r="BA7" s="653"/>
      <c r="BB7" s="654" t="s">
        <v>286</v>
      </c>
      <c r="BC7" s="654" t="s">
        <v>287</v>
      </c>
      <c r="BD7" s="654" t="s">
        <v>290</v>
      </c>
      <c r="BE7" s="654" t="s">
        <v>314</v>
      </c>
      <c r="BF7" s="655">
        <v>2000</v>
      </c>
      <c r="BG7" s="655">
        <v>2001</v>
      </c>
      <c r="BH7" s="655">
        <v>2002</v>
      </c>
      <c r="BI7" s="655">
        <v>2003</v>
      </c>
      <c r="BJ7" s="655">
        <v>2004</v>
      </c>
      <c r="BK7" s="655">
        <v>2005</v>
      </c>
      <c r="BL7" s="655">
        <v>2006</v>
      </c>
      <c r="BM7" s="655">
        <v>2007</v>
      </c>
      <c r="BN7" s="655">
        <v>2008</v>
      </c>
      <c r="BO7" s="655">
        <v>2009</v>
      </c>
      <c r="BP7" s="655">
        <v>2010</v>
      </c>
      <c r="BQ7" s="655">
        <v>2011</v>
      </c>
      <c r="BR7" s="655">
        <v>2012</v>
      </c>
      <c r="BS7" s="655">
        <v>2013</v>
      </c>
      <c r="BT7" s="655">
        <v>2014</v>
      </c>
      <c r="BU7" s="655">
        <v>2015</v>
      </c>
      <c r="BV7" s="655">
        <v>2016</v>
      </c>
      <c r="BW7" s="655">
        <v>2017</v>
      </c>
      <c r="BX7" s="655">
        <v>2018</v>
      </c>
      <c r="BY7" s="655">
        <v>2019</v>
      </c>
      <c r="BZ7" s="655">
        <v>2020</v>
      </c>
      <c r="CA7" s="655">
        <v>2021</v>
      </c>
      <c r="CB7" s="645"/>
      <c r="CC7" s="641">
        <v>4</v>
      </c>
      <c r="CD7" s="641" t="s">
        <v>323</v>
      </c>
      <c r="CE7" s="642">
        <v>213485.22</v>
      </c>
      <c r="CF7" s="643">
        <v>47150</v>
      </c>
      <c r="CG7" s="643">
        <v>10000</v>
      </c>
      <c r="CH7" s="643">
        <v>65330</v>
      </c>
    </row>
    <row r="8" spans="1:86" s="216" customFormat="1" ht="20.25" customHeight="1">
      <c r="A8" s="211"/>
      <c r="B8" s="212">
        <v>6</v>
      </c>
      <c r="C8" s="213">
        <v>1</v>
      </c>
      <c r="D8" s="214" t="s">
        <v>484</v>
      </c>
      <c r="E8" s="215" t="s">
        <v>298</v>
      </c>
      <c r="F8" s="513">
        <v>2633.60009765625</v>
      </c>
      <c r="G8" s="521"/>
      <c r="H8" s="513">
        <v>3022</v>
      </c>
      <c r="I8" s="521" t="s">
        <v>646</v>
      </c>
      <c r="J8" s="513">
        <v>3394.80004882812</v>
      </c>
      <c r="K8" s="521" t="s">
        <v>646</v>
      </c>
      <c r="L8" s="513">
        <v>2734</v>
      </c>
      <c r="M8" s="521" t="s">
        <v>646</v>
      </c>
      <c r="N8" s="513">
        <v>2132.19995117188</v>
      </c>
      <c r="O8" s="521" t="s">
        <v>646</v>
      </c>
      <c r="P8" s="513">
        <v>1909</v>
      </c>
      <c r="Q8" s="521" t="s">
        <v>646</v>
      </c>
      <c r="R8" s="513">
        <v>3529.5</v>
      </c>
      <c r="S8" s="521" t="s">
        <v>646</v>
      </c>
      <c r="T8" s="513">
        <v>2885.30004882812</v>
      </c>
      <c r="U8" s="521" t="s">
        <v>646</v>
      </c>
      <c r="V8" s="513">
        <v>1874.19995117188</v>
      </c>
      <c r="W8" s="521" t="s">
        <v>646</v>
      </c>
      <c r="X8" s="513">
        <v>3366.69995117188</v>
      </c>
      <c r="Y8" s="521" t="s">
        <v>646</v>
      </c>
      <c r="Z8" s="513">
        <v>2396.19995117188</v>
      </c>
      <c r="AA8" s="521" t="s">
        <v>646</v>
      </c>
      <c r="AB8" s="513">
        <v>2604.10009765625</v>
      </c>
      <c r="AC8" s="521" t="s">
        <v>646</v>
      </c>
      <c r="AD8" s="513">
        <v>1632.90002441406</v>
      </c>
      <c r="AE8" s="521" t="s">
        <v>646</v>
      </c>
      <c r="AF8" s="513">
        <v>2113.30004882812</v>
      </c>
      <c r="AG8" s="521" t="s">
        <v>646</v>
      </c>
      <c r="AH8" s="513">
        <v>3126.30004882812</v>
      </c>
      <c r="AI8" s="521" t="s">
        <v>646</v>
      </c>
      <c r="AJ8" s="513">
        <v>2896.89990234375</v>
      </c>
      <c r="AK8" s="521" t="s">
        <v>646</v>
      </c>
      <c r="AL8" s="513">
        <v>2058.19995117188</v>
      </c>
      <c r="AM8" s="521" t="s">
        <v>646</v>
      </c>
      <c r="AN8" s="513"/>
      <c r="AO8" s="521"/>
      <c r="AP8" s="513"/>
      <c r="AQ8" s="521"/>
      <c r="AR8" s="513"/>
      <c r="AS8" s="521"/>
      <c r="AT8" s="513"/>
      <c r="AU8" s="521"/>
      <c r="AV8" s="513"/>
      <c r="AW8" s="521"/>
      <c r="AX8" s="513"/>
      <c r="AY8" s="521"/>
      <c r="BA8" s="656"/>
      <c r="BB8" s="657">
        <v>1</v>
      </c>
      <c r="BC8" s="658" t="s">
        <v>77</v>
      </c>
      <c r="BD8" s="659" t="s">
        <v>78</v>
      </c>
      <c r="BE8" s="657" t="str">
        <f>IF(OR(ISERR(AVERAGE(H8:AY8)),ISBLANK(F8)),"N/A",IF(OR(F8&lt;AVERAGE(H8:AY8)*0.75,F8&gt;AVERAGE(H8:AY8)*1.25),"&lt;&gt;Average","ok"))</f>
        <v>ok</v>
      </c>
      <c r="BF8" s="660" t="s">
        <v>82</v>
      </c>
      <c r="BG8" s="657" t="str">
        <f aca="true" t="shared" si="0" ref="BG8:BG16">IF(OR(ISBLANK(H8),ISBLANK(J8)),"N/A",IF(ABS((J8-H8)/H8)&gt;1,"&gt; 100%","ok"))</f>
        <v>ok</v>
      </c>
      <c r="BH8" s="661" t="str">
        <f>IF(OR(ISBLANK(L8),ISBLANK(J8)),"N/A",IF(ABS((L8-J8)/J8)&gt;1,"&gt; 100%","ok"))</f>
        <v>ok</v>
      </c>
      <c r="BI8" s="661" t="str">
        <f aca="true" t="shared" si="1" ref="BI8:BI16">IF(OR(ISBLANK(N8),ISBLANK(L8)),"N/A",IF(ABS((N8-L8)/L8)&gt;0.25,"&gt; 25%","ok"))</f>
        <v>ok</v>
      </c>
      <c r="BJ8" s="661" t="str">
        <f aca="true" t="shared" si="2" ref="BJ8:BJ16">IF(OR(ISBLANK(P8),ISBLANK(N8)),"N/A",IF(ABS((P8-N8)/N8)&gt;0.25,"&gt; 25%","ok"))</f>
        <v>ok</v>
      </c>
      <c r="BK8" s="661" t="str">
        <f aca="true" t="shared" si="3" ref="BK8:BK16">IF(OR(ISBLANK(R8),ISBLANK(P8)),"N/A",IF(ABS((R8-P8)/P8)&gt;0.25,"&gt; 25%","ok"))</f>
        <v>&gt; 25%</v>
      </c>
      <c r="BL8" s="661" t="str">
        <f aca="true" t="shared" si="4" ref="BL8:BL16">IF(OR(ISBLANK(T8),ISBLANK(R8)),"N/A",IF(ABS((T8-R8)/R8)&gt;0.25,"&gt; 25%","ok"))</f>
        <v>ok</v>
      </c>
      <c r="BM8" s="661" t="str">
        <f aca="true" t="shared" si="5" ref="BM8:BM16">IF(OR(ISBLANK(V8),ISBLANK(T8)),"N/A",IF(ABS((V8-T8)/T8)&gt;0.25,"&gt; 25%","ok"))</f>
        <v>&gt; 25%</v>
      </c>
      <c r="BN8" s="661" t="str">
        <f aca="true" t="shared" si="6" ref="BN8:BN16">IF(OR(ISBLANK(X8),ISBLANK(V8)),"N/A",IF(ABS((X8-V8)/V8)&gt;0.25,"&gt; 25%","ok"))</f>
        <v>&gt; 25%</v>
      </c>
      <c r="BO8" s="661" t="str">
        <f aca="true" t="shared" si="7" ref="BO8:BO16">IF(OR(ISBLANK(Z8),ISBLANK(X8)),"N/A",IF(ABS((Z8-X8)/X8)&gt;0.25,"&gt; 25%","ok"))</f>
        <v>&gt; 25%</v>
      </c>
      <c r="BP8" s="661" t="str">
        <f aca="true" t="shared" si="8" ref="BP8:BP16">IF(OR(ISBLANK(AB8),ISBLANK(Z8)),"N/A",IF(ABS((AB8-Z8)/Z8)&gt;0.25,"&gt; 25%","ok"))</f>
        <v>ok</v>
      </c>
      <c r="BQ8" s="661" t="str">
        <f aca="true" t="shared" si="9" ref="BQ8:BQ16">IF(OR(ISBLANK(AD8),ISBLANK(AB8)),"N/A",IF(ABS((AD8-AB8)/AB8)&gt;0.25,"&gt; 25%","ok"))</f>
        <v>&gt; 25%</v>
      </c>
      <c r="BR8" s="661" t="str">
        <f aca="true" t="shared" si="10" ref="BR8:BR16">IF(OR(ISBLANK(AF8),ISBLANK(AD8)),"N/A",IF(ABS((AF8-AD8)/AD8)&gt;0.25,"&gt; 25%","ok"))</f>
        <v>&gt; 25%</v>
      </c>
      <c r="BS8" s="661" t="str">
        <f aca="true" t="shared" si="11" ref="BS8:BS16">IF(OR(ISBLANK(AH8),ISBLANK(AF8)),"N/A",IF(ABS((AH8-AF8)/AF8)&gt;0.25,"&gt; 25%","ok"))</f>
        <v>&gt; 25%</v>
      </c>
      <c r="BT8" s="661" t="str">
        <f aca="true" t="shared" si="12" ref="BT8:BT16">IF(OR(ISBLANK(AJ8),ISBLANK(AH8)),"N/A",IF(ABS((AJ8-AH8)/AH8)&gt;0.25,"&gt; 25%","ok"))</f>
        <v>ok</v>
      </c>
      <c r="BU8" s="661" t="str">
        <f aca="true" t="shared" si="13" ref="BU8:BU16">IF(OR(ISBLANK(AL8),ISBLANK(AJ8)),"N/A",IF(ABS((AL8-AJ8)/AJ8)&gt;0.25,"&gt; 25%","ok"))</f>
        <v>&gt; 25%</v>
      </c>
      <c r="BV8" s="661" t="str">
        <f aca="true" t="shared" si="14" ref="BV8:BV16">IF(OR(ISBLANK(AN8),ISBLANK(AL8)),"N/A",IF(ABS((AN8-AL8)/AL8)&gt;0.25,"&gt; 25%","ok"))</f>
        <v>N/A</v>
      </c>
      <c r="BW8" s="661" t="str">
        <f aca="true" t="shared" si="15" ref="BW8:BW16">IF(OR(ISBLANK(AP8),ISBLANK(AN8)),"N/A",IF(ABS((AP8-AN8)/AN8)&gt;0.25,"&gt; 25%","ok"))</f>
        <v>N/A</v>
      </c>
      <c r="BX8" s="661" t="str">
        <f aca="true" t="shared" si="16" ref="BX8:BX16">IF(OR(ISBLANK(AR8),ISBLANK(AP8)),"N/A",IF(ABS((AR8-AP8)/AP8)&gt;0.25,"&gt; 25%","ok"))</f>
        <v>N/A</v>
      </c>
      <c r="BY8" s="661" t="str">
        <f>IF(OR(ISBLANK(AT8),ISBLANK(AR8)),"N/A",IF(ABS((AT8-AR8)/AR8)&gt;0.25,"&gt; 25%","ok"))</f>
        <v>N/A</v>
      </c>
      <c r="BZ8" s="661" t="str">
        <f aca="true" t="shared" si="17" ref="BZ8:BZ16">IF(OR(ISBLANK(AV8),ISBLANK(AT8)),"N/A",IF(ABS((AV8-AT8)/AT8)&gt;0.25,"&gt; 25%","ok"))</f>
        <v>N/A</v>
      </c>
      <c r="CA8" s="661" t="str">
        <f aca="true" t="shared" si="18" ref="CA8:CA16">IF(OR(ISBLANK(AX8),ISBLANK(AV8)),"N/A",IF(ABS((AX8-AV8)/AV8)&gt;0.25,"&gt; 25%","ok"))</f>
        <v>N/A</v>
      </c>
      <c r="CB8" s="489"/>
      <c r="CC8" s="641">
        <v>8</v>
      </c>
      <c r="CD8" s="641" t="s">
        <v>324</v>
      </c>
      <c r="CE8" s="642">
        <v>41179.049999999996</v>
      </c>
      <c r="CF8" s="643">
        <v>26900</v>
      </c>
      <c r="CG8" s="643">
        <v>3300</v>
      </c>
      <c r="CH8" s="643">
        <v>30200</v>
      </c>
    </row>
    <row r="9" spans="1:86" s="216" customFormat="1" ht="20.25" customHeight="1">
      <c r="A9" s="211"/>
      <c r="B9" s="212">
        <v>7</v>
      </c>
      <c r="C9" s="218">
        <v>2</v>
      </c>
      <c r="D9" s="219" t="s">
        <v>482</v>
      </c>
      <c r="E9" s="218" t="s">
        <v>298</v>
      </c>
      <c r="F9" s="535">
        <v>1166.5</v>
      </c>
      <c r="G9" s="522"/>
      <c r="H9" s="535">
        <v>1135.69995117188</v>
      </c>
      <c r="I9" s="522" t="s">
        <v>648</v>
      </c>
      <c r="J9" s="535">
        <v>1125.5</v>
      </c>
      <c r="K9" s="522" t="s">
        <v>648</v>
      </c>
      <c r="L9" s="535">
        <v>1067.90002441406</v>
      </c>
      <c r="M9" s="522" t="s">
        <v>648</v>
      </c>
      <c r="N9" s="535">
        <v>1055</v>
      </c>
      <c r="O9" s="522" t="s">
        <v>648</v>
      </c>
      <c r="P9" s="535">
        <v>1319.09997558594</v>
      </c>
      <c r="Q9" s="522" t="s">
        <v>648</v>
      </c>
      <c r="R9" s="535">
        <v>1176.40002441406</v>
      </c>
      <c r="S9" s="522" t="s">
        <v>648</v>
      </c>
      <c r="T9" s="535">
        <v>1210.5</v>
      </c>
      <c r="U9" s="522" t="s">
        <v>648</v>
      </c>
      <c r="V9" s="535">
        <v>1535.59997558594</v>
      </c>
      <c r="W9" s="522" t="s">
        <v>648</v>
      </c>
      <c r="X9" s="535">
        <v>1422.69995117188</v>
      </c>
      <c r="Y9" s="522" t="s">
        <v>648</v>
      </c>
      <c r="Z9" s="535">
        <v>1506.30004882812</v>
      </c>
      <c r="AA9" s="522" t="s">
        <v>648</v>
      </c>
      <c r="AB9" s="535">
        <v>1333.09997558594</v>
      </c>
      <c r="AC9" s="522" t="s">
        <v>648</v>
      </c>
      <c r="AD9" s="535">
        <v>1349.09997558594</v>
      </c>
      <c r="AE9" s="522" t="s">
        <v>648</v>
      </c>
      <c r="AF9" s="535">
        <v>1301</v>
      </c>
      <c r="AG9" s="522" t="s">
        <v>648</v>
      </c>
      <c r="AH9" s="535">
        <v>1032.19995117188</v>
      </c>
      <c r="AI9" s="522" t="s">
        <v>648</v>
      </c>
      <c r="AJ9" s="535">
        <v>1114.30004882812</v>
      </c>
      <c r="AK9" s="522" t="s">
        <v>648</v>
      </c>
      <c r="AL9" s="535">
        <v>1038.69995117188</v>
      </c>
      <c r="AM9" s="522" t="s">
        <v>648</v>
      </c>
      <c r="AN9" s="535"/>
      <c r="AO9" s="522"/>
      <c r="AP9" s="535"/>
      <c r="AQ9" s="522"/>
      <c r="AR9" s="535"/>
      <c r="AS9" s="522"/>
      <c r="AT9" s="535"/>
      <c r="AU9" s="522"/>
      <c r="AV9" s="535"/>
      <c r="AW9" s="522"/>
      <c r="AX9" s="535"/>
      <c r="AY9" s="522"/>
      <c r="BA9" s="656"/>
      <c r="BB9" s="662">
        <v>2</v>
      </c>
      <c r="BC9" s="663" t="s">
        <v>482</v>
      </c>
      <c r="BD9" s="664" t="s">
        <v>78</v>
      </c>
      <c r="BE9" s="657" t="str">
        <f aca="true" t="shared" si="19" ref="BE9:BE16">IF(OR(ISERR(AVERAGE(H9:AY9)),ISBLANK(F9)),"N/A",IF(OR(F9&lt;AVERAGE(H9:AY9)*0.75,F9&gt;AVERAGE(H9:AY9)*1.25),"&lt;&gt;Average","ok"))</f>
        <v>ok</v>
      </c>
      <c r="BF9" s="665" t="s">
        <v>82</v>
      </c>
      <c r="BG9" s="657" t="str">
        <f t="shared" si="0"/>
        <v>ok</v>
      </c>
      <c r="BH9" s="661" t="str">
        <f aca="true" t="shared" si="20" ref="BH9:BH16">IF(OR(ISBLANK(L9),ISBLANK(J9)),"N/A",IF(ABS((L9-J9)/J9)&gt;1,"&gt; 100%","ok"))</f>
        <v>ok</v>
      </c>
      <c r="BI9" s="661" t="str">
        <f t="shared" si="1"/>
        <v>ok</v>
      </c>
      <c r="BJ9" s="661" t="str">
        <f t="shared" si="2"/>
        <v>&gt; 25%</v>
      </c>
      <c r="BK9" s="661" t="str">
        <f t="shared" si="3"/>
        <v>ok</v>
      </c>
      <c r="BL9" s="661" t="str">
        <f t="shared" si="4"/>
        <v>ok</v>
      </c>
      <c r="BM9" s="661" t="str">
        <f t="shared" si="5"/>
        <v>&gt; 25%</v>
      </c>
      <c r="BN9" s="661" t="str">
        <f t="shared" si="6"/>
        <v>ok</v>
      </c>
      <c r="BO9" s="661" t="str">
        <f t="shared" si="7"/>
        <v>ok</v>
      </c>
      <c r="BP9" s="661" t="str">
        <f t="shared" si="8"/>
        <v>ok</v>
      </c>
      <c r="BQ9" s="661" t="str">
        <f t="shared" si="9"/>
        <v>ok</v>
      </c>
      <c r="BR9" s="661" t="str">
        <f t="shared" si="10"/>
        <v>ok</v>
      </c>
      <c r="BS9" s="661" t="str">
        <f t="shared" si="11"/>
        <v>ok</v>
      </c>
      <c r="BT9" s="661" t="str">
        <f t="shared" si="12"/>
        <v>ok</v>
      </c>
      <c r="BU9" s="661" t="str">
        <f t="shared" si="13"/>
        <v>ok</v>
      </c>
      <c r="BV9" s="661" t="str">
        <f t="shared" si="14"/>
        <v>N/A</v>
      </c>
      <c r="BW9" s="661" t="str">
        <f t="shared" si="15"/>
        <v>N/A</v>
      </c>
      <c r="BX9" s="661" t="str">
        <f t="shared" si="16"/>
        <v>N/A</v>
      </c>
      <c r="BY9" s="661" t="str">
        <f aca="true" t="shared" si="21" ref="BY9:BY16">IF(OR(ISBLANK(AT9),ISBLANK(AR9)),"N/A",IF(ABS((AT9-AR9)/AR9)&gt;0.25,"&gt; 25%","ok"))</f>
        <v>N/A</v>
      </c>
      <c r="BZ9" s="661" t="str">
        <f t="shared" si="17"/>
        <v>N/A</v>
      </c>
      <c r="CA9" s="661" t="str">
        <f t="shared" si="18"/>
        <v>N/A</v>
      </c>
      <c r="CB9" s="489"/>
      <c r="CC9" s="641">
        <v>12</v>
      </c>
      <c r="CD9" s="641" t="s">
        <v>325</v>
      </c>
      <c r="CE9" s="642">
        <v>211974.94900000002</v>
      </c>
      <c r="CF9" s="643">
        <v>11247</v>
      </c>
      <c r="CG9" s="643">
        <v>390</v>
      </c>
      <c r="CH9" s="643">
        <v>11667</v>
      </c>
    </row>
    <row r="10" spans="1:86" s="222" customFormat="1" ht="20.25" customHeight="1">
      <c r="A10" s="221" t="s">
        <v>65</v>
      </c>
      <c r="B10" s="212">
        <v>5</v>
      </c>
      <c r="C10" s="213">
        <v>3</v>
      </c>
      <c r="D10" s="219" t="s">
        <v>19</v>
      </c>
      <c r="E10" s="218" t="s">
        <v>298</v>
      </c>
      <c r="F10" s="535">
        <v>1467.09997558594</v>
      </c>
      <c r="G10" s="522"/>
      <c r="H10" s="535">
        <v>1886.30004882812</v>
      </c>
      <c r="I10" s="522"/>
      <c r="J10" s="535">
        <v>2269.30004882812</v>
      </c>
      <c r="K10" s="522"/>
      <c r="L10" s="535">
        <v>1666.09997558594</v>
      </c>
      <c r="M10" s="522"/>
      <c r="N10" s="535">
        <v>1077.19995117188</v>
      </c>
      <c r="O10" s="522"/>
      <c r="P10" s="535">
        <v>589.900024414062</v>
      </c>
      <c r="Q10" s="522"/>
      <c r="R10" s="535">
        <v>2353.10009765625</v>
      </c>
      <c r="S10" s="522"/>
      <c r="T10" s="535">
        <v>1674.80004882812</v>
      </c>
      <c r="U10" s="522"/>
      <c r="V10" s="535">
        <v>338.600006103516</v>
      </c>
      <c r="W10" s="522"/>
      <c r="X10" s="535">
        <v>1944</v>
      </c>
      <c r="Y10" s="522"/>
      <c r="Z10" s="535">
        <v>889.900024414062</v>
      </c>
      <c r="AA10" s="522"/>
      <c r="AB10" s="535">
        <v>1271</v>
      </c>
      <c r="AC10" s="522"/>
      <c r="AD10" s="535">
        <v>283.799987792969</v>
      </c>
      <c r="AE10" s="522"/>
      <c r="AF10" s="535">
        <v>812.299987792969</v>
      </c>
      <c r="AG10" s="522"/>
      <c r="AH10" s="535">
        <v>2094.10009765625</v>
      </c>
      <c r="AI10" s="522"/>
      <c r="AJ10" s="535">
        <v>1782.59997558594</v>
      </c>
      <c r="AK10" s="522"/>
      <c r="AL10" s="535">
        <v>1019.5</v>
      </c>
      <c r="AM10" s="522"/>
      <c r="AN10" s="535"/>
      <c r="AO10" s="522"/>
      <c r="AP10" s="535"/>
      <c r="AQ10" s="522"/>
      <c r="AR10" s="535"/>
      <c r="AS10" s="522"/>
      <c r="AT10" s="535"/>
      <c r="AU10" s="522"/>
      <c r="AV10" s="535"/>
      <c r="AW10" s="522"/>
      <c r="AX10" s="535"/>
      <c r="AY10" s="522"/>
      <c r="BA10" s="666"/>
      <c r="BB10" s="657">
        <v>3</v>
      </c>
      <c r="BC10" s="663" t="s">
        <v>19</v>
      </c>
      <c r="BD10" s="662" t="s">
        <v>78</v>
      </c>
      <c r="BE10" s="657" t="str">
        <f t="shared" si="19"/>
        <v>ok</v>
      </c>
      <c r="BF10" s="665" t="s">
        <v>82</v>
      </c>
      <c r="BG10" s="657" t="str">
        <f t="shared" si="0"/>
        <v>ok</v>
      </c>
      <c r="BH10" s="661" t="str">
        <f t="shared" si="20"/>
        <v>ok</v>
      </c>
      <c r="BI10" s="661" t="str">
        <f t="shared" si="1"/>
        <v>&gt; 25%</v>
      </c>
      <c r="BJ10" s="661" t="str">
        <f t="shared" si="2"/>
        <v>&gt; 25%</v>
      </c>
      <c r="BK10" s="661" t="str">
        <f t="shared" si="3"/>
        <v>&gt; 25%</v>
      </c>
      <c r="BL10" s="661" t="str">
        <f t="shared" si="4"/>
        <v>&gt; 25%</v>
      </c>
      <c r="BM10" s="661" t="str">
        <f t="shared" si="5"/>
        <v>&gt; 25%</v>
      </c>
      <c r="BN10" s="661" t="str">
        <f t="shared" si="6"/>
        <v>&gt; 25%</v>
      </c>
      <c r="BO10" s="661" t="str">
        <f t="shared" si="7"/>
        <v>&gt; 25%</v>
      </c>
      <c r="BP10" s="661" t="str">
        <f t="shared" si="8"/>
        <v>&gt; 25%</v>
      </c>
      <c r="BQ10" s="661" t="str">
        <f t="shared" si="9"/>
        <v>&gt; 25%</v>
      </c>
      <c r="BR10" s="661" t="str">
        <f t="shared" si="10"/>
        <v>&gt; 25%</v>
      </c>
      <c r="BS10" s="661" t="str">
        <f t="shared" si="11"/>
        <v>&gt; 25%</v>
      </c>
      <c r="BT10" s="661" t="str">
        <f t="shared" si="12"/>
        <v>ok</v>
      </c>
      <c r="BU10" s="661" t="str">
        <f t="shared" si="13"/>
        <v>&gt; 25%</v>
      </c>
      <c r="BV10" s="661" t="str">
        <f t="shared" si="14"/>
        <v>N/A</v>
      </c>
      <c r="BW10" s="661" t="str">
        <f t="shared" si="15"/>
        <v>N/A</v>
      </c>
      <c r="BX10" s="661" t="str">
        <f t="shared" si="16"/>
        <v>N/A</v>
      </c>
      <c r="BY10" s="661" t="str">
        <f t="shared" si="21"/>
        <v>N/A</v>
      </c>
      <c r="BZ10" s="661" t="str">
        <f t="shared" si="17"/>
        <v>N/A</v>
      </c>
      <c r="CA10" s="661" t="str">
        <f t="shared" si="18"/>
        <v>N/A</v>
      </c>
      <c r="CB10" s="489"/>
      <c r="CC10" s="641">
        <v>20</v>
      </c>
      <c r="CD10" s="641" t="s">
        <v>146</v>
      </c>
      <c r="CE10" s="642">
        <v>472.4</v>
      </c>
      <c r="CF10" s="643">
        <v>315.59999999999997</v>
      </c>
      <c r="CG10" s="643">
        <v>0</v>
      </c>
      <c r="CH10" s="643">
        <v>315.59999999999997</v>
      </c>
    </row>
    <row r="11" spans="1:86" s="216" customFormat="1" ht="34.5" customHeight="1">
      <c r="A11" s="211"/>
      <c r="B11" s="212">
        <v>8</v>
      </c>
      <c r="C11" s="218">
        <v>4</v>
      </c>
      <c r="D11" s="223" t="s">
        <v>208</v>
      </c>
      <c r="E11" s="218" t="s">
        <v>298</v>
      </c>
      <c r="F11" s="535"/>
      <c r="G11" s="522"/>
      <c r="H11" s="535"/>
      <c r="I11" s="522"/>
      <c r="J11" s="535"/>
      <c r="K11" s="522"/>
      <c r="L11" s="535"/>
      <c r="M11" s="522"/>
      <c r="N11" s="535"/>
      <c r="O11" s="522"/>
      <c r="P11" s="535"/>
      <c r="Q11" s="522"/>
      <c r="R11" s="535"/>
      <c r="S11" s="522"/>
      <c r="T11" s="535"/>
      <c r="U11" s="522"/>
      <c r="V11" s="535"/>
      <c r="W11" s="522"/>
      <c r="X11" s="535"/>
      <c r="Y11" s="522"/>
      <c r="Z11" s="535"/>
      <c r="AA11" s="522"/>
      <c r="AB11" s="535"/>
      <c r="AC11" s="522"/>
      <c r="AD11" s="535"/>
      <c r="AE11" s="522"/>
      <c r="AF11" s="535"/>
      <c r="AG11" s="522"/>
      <c r="AH11" s="535"/>
      <c r="AI11" s="522"/>
      <c r="AJ11" s="535"/>
      <c r="AK11" s="522"/>
      <c r="AL11" s="535"/>
      <c r="AM11" s="522"/>
      <c r="AN11" s="535"/>
      <c r="AO11" s="522"/>
      <c r="AP11" s="535"/>
      <c r="AQ11" s="522"/>
      <c r="AR11" s="535"/>
      <c r="AS11" s="522"/>
      <c r="AT11" s="535"/>
      <c r="AU11" s="522"/>
      <c r="AV11" s="535"/>
      <c r="AW11" s="522"/>
      <c r="AX11" s="535"/>
      <c r="AY11" s="522"/>
      <c r="BA11" s="656"/>
      <c r="BB11" s="662">
        <v>4</v>
      </c>
      <c r="BC11" s="663" t="s">
        <v>208</v>
      </c>
      <c r="BD11" s="664" t="s">
        <v>78</v>
      </c>
      <c r="BE11" s="657" t="str">
        <f t="shared" si="19"/>
        <v>N/A</v>
      </c>
      <c r="BF11" s="665" t="s">
        <v>82</v>
      </c>
      <c r="BG11" s="657" t="str">
        <f t="shared" si="0"/>
        <v>N/A</v>
      </c>
      <c r="BH11" s="661" t="str">
        <f t="shared" si="20"/>
        <v>N/A</v>
      </c>
      <c r="BI11" s="661" t="str">
        <f t="shared" si="1"/>
        <v>N/A</v>
      </c>
      <c r="BJ11" s="661" t="str">
        <f t="shared" si="2"/>
        <v>N/A</v>
      </c>
      <c r="BK11" s="661" t="str">
        <f t="shared" si="3"/>
        <v>N/A</v>
      </c>
      <c r="BL11" s="661" t="str">
        <f t="shared" si="4"/>
        <v>N/A</v>
      </c>
      <c r="BM11" s="661" t="str">
        <f t="shared" si="5"/>
        <v>N/A</v>
      </c>
      <c r="BN11" s="661" t="str">
        <f t="shared" si="6"/>
        <v>N/A</v>
      </c>
      <c r="BO11" s="661" t="str">
        <f t="shared" si="7"/>
        <v>N/A</v>
      </c>
      <c r="BP11" s="661" t="str">
        <f t="shared" si="8"/>
        <v>N/A</v>
      </c>
      <c r="BQ11" s="661" t="str">
        <f t="shared" si="9"/>
        <v>N/A</v>
      </c>
      <c r="BR11" s="661" t="str">
        <f t="shared" si="10"/>
        <v>N/A</v>
      </c>
      <c r="BS11" s="661" t="str">
        <f t="shared" si="11"/>
        <v>N/A</v>
      </c>
      <c r="BT11" s="661" t="str">
        <f t="shared" si="12"/>
        <v>N/A</v>
      </c>
      <c r="BU11" s="661" t="str">
        <f t="shared" si="13"/>
        <v>N/A</v>
      </c>
      <c r="BV11" s="661" t="str">
        <f t="shared" si="14"/>
        <v>N/A</v>
      </c>
      <c r="BW11" s="661" t="str">
        <f t="shared" si="15"/>
        <v>N/A</v>
      </c>
      <c r="BX11" s="661" t="str">
        <f t="shared" si="16"/>
        <v>N/A</v>
      </c>
      <c r="BY11" s="661" t="str">
        <f t="shared" si="21"/>
        <v>N/A</v>
      </c>
      <c r="BZ11" s="661" t="str">
        <f t="shared" si="17"/>
        <v>N/A</v>
      </c>
      <c r="CA11" s="661" t="str">
        <f t="shared" si="18"/>
        <v>N/A</v>
      </c>
      <c r="CB11" s="489"/>
      <c r="CC11" s="641">
        <v>24</v>
      </c>
      <c r="CD11" s="641" t="s">
        <v>326</v>
      </c>
      <c r="CE11" s="642">
        <v>1259167</v>
      </c>
      <c r="CF11" s="643">
        <v>148000</v>
      </c>
      <c r="CG11" s="643">
        <v>400</v>
      </c>
      <c r="CH11" s="643">
        <v>148400</v>
      </c>
    </row>
    <row r="12" spans="1:86" s="227" customFormat="1" ht="34.5" customHeight="1">
      <c r="A12" s="221" t="s">
        <v>65</v>
      </c>
      <c r="B12" s="212">
        <v>124</v>
      </c>
      <c r="C12" s="224">
        <v>5</v>
      </c>
      <c r="D12" s="225" t="s">
        <v>18</v>
      </c>
      <c r="E12" s="226" t="s">
        <v>298</v>
      </c>
      <c r="F12" s="536">
        <v>1467.09997558594</v>
      </c>
      <c r="G12" s="523"/>
      <c r="H12" s="536">
        <v>1886.30004882812</v>
      </c>
      <c r="I12" s="523"/>
      <c r="J12" s="536">
        <v>2269.30004882812</v>
      </c>
      <c r="K12" s="523"/>
      <c r="L12" s="536">
        <v>1666.09997558594</v>
      </c>
      <c r="M12" s="523"/>
      <c r="N12" s="536">
        <v>1077.19995117188</v>
      </c>
      <c r="O12" s="523"/>
      <c r="P12" s="536">
        <v>589.900024414062</v>
      </c>
      <c r="Q12" s="523"/>
      <c r="R12" s="536">
        <v>2353.10009765625</v>
      </c>
      <c r="S12" s="523"/>
      <c r="T12" s="536">
        <v>1674.80004882812</v>
      </c>
      <c r="U12" s="523"/>
      <c r="V12" s="536">
        <v>338.600006103516</v>
      </c>
      <c r="W12" s="523"/>
      <c r="X12" s="536">
        <v>1944</v>
      </c>
      <c r="Y12" s="523"/>
      <c r="Z12" s="536">
        <v>889.900024414062</v>
      </c>
      <c r="AA12" s="523"/>
      <c r="AB12" s="536">
        <v>1271</v>
      </c>
      <c r="AC12" s="523"/>
      <c r="AD12" s="536">
        <v>283.799987792969</v>
      </c>
      <c r="AE12" s="523"/>
      <c r="AF12" s="536">
        <v>812.299987792969</v>
      </c>
      <c r="AG12" s="523"/>
      <c r="AH12" s="536">
        <v>2094.10009765625</v>
      </c>
      <c r="AI12" s="523"/>
      <c r="AJ12" s="536">
        <v>1782.59997558594</v>
      </c>
      <c r="AK12" s="523"/>
      <c r="AL12" s="536">
        <v>1019.5</v>
      </c>
      <c r="AM12" s="523"/>
      <c r="AN12" s="536"/>
      <c r="AO12" s="523"/>
      <c r="AP12" s="536"/>
      <c r="AQ12" s="523"/>
      <c r="AR12" s="536"/>
      <c r="AS12" s="523"/>
      <c r="AT12" s="536"/>
      <c r="AU12" s="523"/>
      <c r="AV12" s="536"/>
      <c r="AW12" s="523"/>
      <c r="AX12" s="536"/>
      <c r="AY12" s="523"/>
      <c r="BA12" s="666"/>
      <c r="BB12" s="657">
        <v>5</v>
      </c>
      <c r="BC12" s="667" t="s">
        <v>18</v>
      </c>
      <c r="BD12" s="664" t="s">
        <v>78</v>
      </c>
      <c r="BE12" s="657" t="str">
        <f>IF(OR(ISERR(AVERAGE(H12:AY12)),ISBLANK(F12)),"N/A",IF(OR(F12&lt;AVERAGE(H12:AY12)*0.75,F12&gt;AVERAGE(H12:AY12)*1.25),"&lt;&gt;Average","ok"))</f>
        <v>ok</v>
      </c>
      <c r="BF12" s="665" t="s">
        <v>82</v>
      </c>
      <c r="BG12" s="657" t="str">
        <f t="shared" si="0"/>
        <v>ok</v>
      </c>
      <c r="BH12" s="661" t="str">
        <f t="shared" si="20"/>
        <v>ok</v>
      </c>
      <c r="BI12" s="661" t="str">
        <f t="shared" si="1"/>
        <v>&gt; 25%</v>
      </c>
      <c r="BJ12" s="661" t="str">
        <f t="shared" si="2"/>
        <v>&gt; 25%</v>
      </c>
      <c r="BK12" s="661" t="str">
        <f t="shared" si="3"/>
        <v>&gt; 25%</v>
      </c>
      <c r="BL12" s="661" t="str">
        <f t="shared" si="4"/>
        <v>&gt; 25%</v>
      </c>
      <c r="BM12" s="661" t="str">
        <f t="shared" si="5"/>
        <v>&gt; 25%</v>
      </c>
      <c r="BN12" s="661" t="str">
        <f t="shared" si="6"/>
        <v>&gt; 25%</v>
      </c>
      <c r="BO12" s="661" t="str">
        <f t="shared" si="7"/>
        <v>&gt; 25%</v>
      </c>
      <c r="BP12" s="661" t="str">
        <f t="shared" si="8"/>
        <v>&gt; 25%</v>
      </c>
      <c r="BQ12" s="661" t="str">
        <f t="shared" si="9"/>
        <v>&gt; 25%</v>
      </c>
      <c r="BR12" s="661" t="str">
        <f t="shared" si="10"/>
        <v>&gt; 25%</v>
      </c>
      <c r="BS12" s="661" t="str">
        <f t="shared" si="11"/>
        <v>&gt; 25%</v>
      </c>
      <c r="BT12" s="661" t="str">
        <f t="shared" si="12"/>
        <v>ok</v>
      </c>
      <c r="BU12" s="661" t="str">
        <f t="shared" si="13"/>
        <v>&gt; 25%</v>
      </c>
      <c r="BV12" s="661" t="str">
        <f t="shared" si="14"/>
        <v>N/A</v>
      </c>
      <c r="BW12" s="661" t="str">
        <f t="shared" si="15"/>
        <v>N/A</v>
      </c>
      <c r="BX12" s="661" t="str">
        <f t="shared" si="16"/>
        <v>N/A</v>
      </c>
      <c r="BY12" s="661" t="str">
        <f t="shared" si="21"/>
        <v>N/A</v>
      </c>
      <c r="BZ12" s="661" t="str">
        <f t="shared" si="17"/>
        <v>N/A</v>
      </c>
      <c r="CA12" s="661" t="str">
        <f t="shared" si="18"/>
        <v>N/A</v>
      </c>
      <c r="CB12" s="489"/>
      <c r="CC12" s="641">
        <v>28</v>
      </c>
      <c r="CD12" s="641" t="s">
        <v>327</v>
      </c>
      <c r="CE12" s="642">
        <v>453.2</v>
      </c>
      <c r="CF12" s="643">
        <v>52</v>
      </c>
      <c r="CG12" s="643">
        <v>0</v>
      </c>
      <c r="CH12" s="643">
        <v>52</v>
      </c>
    </row>
    <row r="13" spans="1:86" s="227" customFormat="1" ht="34.5" customHeight="1">
      <c r="A13" s="228" t="s">
        <v>65</v>
      </c>
      <c r="B13" s="212">
        <v>127</v>
      </c>
      <c r="C13" s="218">
        <v>6</v>
      </c>
      <c r="D13" s="223" t="s">
        <v>206</v>
      </c>
      <c r="E13" s="229" t="s">
        <v>298</v>
      </c>
      <c r="F13" s="535"/>
      <c r="G13" s="522"/>
      <c r="H13" s="535"/>
      <c r="I13" s="522"/>
      <c r="J13" s="535"/>
      <c r="K13" s="522"/>
      <c r="L13" s="535"/>
      <c r="M13" s="522"/>
      <c r="N13" s="535"/>
      <c r="O13" s="522"/>
      <c r="P13" s="535"/>
      <c r="Q13" s="522"/>
      <c r="R13" s="535"/>
      <c r="S13" s="522"/>
      <c r="T13" s="535"/>
      <c r="U13" s="522"/>
      <c r="V13" s="535"/>
      <c r="W13" s="522"/>
      <c r="X13" s="535"/>
      <c r="Y13" s="522"/>
      <c r="Z13" s="535"/>
      <c r="AA13" s="522"/>
      <c r="AB13" s="535"/>
      <c r="AC13" s="522"/>
      <c r="AD13" s="535"/>
      <c r="AE13" s="522"/>
      <c r="AF13" s="535"/>
      <c r="AG13" s="522"/>
      <c r="AH13" s="535"/>
      <c r="AI13" s="522"/>
      <c r="AJ13" s="535"/>
      <c r="AK13" s="522"/>
      <c r="AL13" s="535"/>
      <c r="AM13" s="522"/>
      <c r="AN13" s="535"/>
      <c r="AO13" s="522"/>
      <c r="AP13" s="535"/>
      <c r="AQ13" s="522"/>
      <c r="AR13" s="535"/>
      <c r="AS13" s="522"/>
      <c r="AT13" s="535"/>
      <c r="AU13" s="522"/>
      <c r="AV13" s="535"/>
      <c r="AW13" s="522"/>
      <c r="AX13" s="535"/>
      <c r="AY13" s="522"/>
      <c r="BA13" s="666"/>
      <c r="BB13" s="657">
        <v>6</v>
      </c>
      <c r="BC13" s="663" t="s">
        <v>475</v>
      </c>
      <c r="BD13" s="664" t="s">
        <v>78</v>
      </c>
      <c r="BE13" s="657" t="str">
        <f t="shared" si="19"/>
        <v>N/A</v>
      </c>
      <c r="BF13" s="668" t="s">
        <v>82</v>
      </c>
      <c r="BG13" s="662" t="str">
        <f t="shared" si="0"/>
        <v>N/A</v>
      </c>
      <c r="BH13" s="661" t="str">
        <f t="shared" si="20"/>
        <v>N/A</v>
      </c>
      <c r="BI13" s="664" t="str">
        <f t="shared" si="1"/>
        <v>N/A</v>
      </c>
      <c r="BJ13" s="664" t="str">
        <f t="shared" si="2"/>
        <v>N/A</v>
      </c>
      <c r="BK13" s="664" t="str">
        <f t="shared" si="3"/>
        <v>N/A</v>
      </c>
      <c r="BL13" s="664" t="str">
        <f t="shared" si="4"/>
        <v>N/A</v>
      </c>
      <c r="BM13" s="664" t="str">
        <f t="shared" si="5"/>
        <v>N/A</v>
      </c>
      <c r="BN13" s="661" t="str">
        <f t="shared" si="6"/>
        <v>N/A</v>
      </c>
      <c r="BO13" s="661" t="str">
        <f t="shared" si="7"/>
        <v>N/A</v>
      </c>
      <c r="BP13" s="661" t="str">
        <f t="shared" si="8"/>
        <v>N/A</v>
      </c>
      <c r="BQ13" s="661" t="str">
        <f t="shared" si="9"/>
        <v>N/A</v>
      </c>
      <c r="BR13" s="661" t="str">
        <f t="shared" si="10"/>
        <v>N/A</v>
      </c>
      <c r="BS13" s="661" t="str">
        <f t="shared" si="11"/>
        <v>N/A</v>
      </c>
      <c r="BT13" s="661" t="str">
        <f t="shared" si="12"/>
        <v>N/A</v>
      </c>
      <c r="BU13" s="661" t="str">
        <f t="shared" si="13"/>
        <v>N/A</v>
      </c>
      <c r="BV13" s="661" t="str">
        <f t="shared" si="14"/>
        <v>N/A</v>
      </c>
      <c r="BW13" s="661" t="str">
        <f t="shared" si="15"/>
        <v>N/A</v>
      </c>
      <c r="BX13" s="661" t="str">
        <f t="shared" si="16"/>
        <v>N/A</v>
      </c>
      <c r="BY13" s="661" t="str">
        <f t="shared" si="21"/>
        <v>N/A</v>
      </c>
      <c r="BZ13" s="661" t="str">
        <f t="shared" si="17"/>
        <v>N/A</v>
      </c>
      <c r="CA13" s="661" t="str">
        <f t="shared" si="18"/>
        <v>N/A</v>
      </c>
      <c r="CB13" s="489"/>
      <c r="CC13" s="641">
        <v>32</v>
      </c>
      <c r="CD13" s="641" t="s">
        <v>328</v>
      </c>
      <c r="CE13" s="642">
        <v>1643216.4</v>
      </c>
      <c r="CF13" s="643">
        <v>292000</v>
      </c>
      <c r="CG13" s="643">
        <v>516299.99999999994</v>
      </c>
      <c r="CH13" s="643">
        <v>876240</v>
      </c>
    </row>
    <row r="14" spans="1:86" s="227" customFormat="1" ht="34.5" customHeight="1">
      <c r="A14" s="221"/>
      <c r="B14" s="212">
        <v>125</v>
      </c>
      <c r="C14" s="229">
        <v>7</v>
      </c>
      <c r="D14" s="231" t="s">
        <v>642</v>
      </c>
      <c r="E14" s="229" t="s">
        <v>298</v>
      </c>
      <c r="F14" s="537"/>
      <c r="G14" s="527"/>
      <c r="H14" s="537"/>
      <c r="I14" s="527"/>
      <c r="J14" s="537"/>
      <c r="K14" s="527"/>
      <c r="L14" s="537"/>
      <c r="M14" s="527"/>
      <c r="N14" s="537"/>
      <c r="O14" s="527"/>
      <c r="P14" s="537"/>
      <c r="Q14" s="527"/>
      <c r="R14" s="537"/>
      <c r="S14" s="527"/>
      <c r="T14" s="537"/>
      <c r="U14" s="527"/>
      <c r="V14" s="537"/>
      <c r="W14" s="527"/>
      <c r="X14" s="537"/>
      <c r="Y14" s="527"/>
      <c r="Z14" s="537"/>
      <c r="AA14" s="527"/>
      <c r="AB14" s="537"/>
      <c r="AC14" s="527"/>
      <c r="AD14" s="537"/>
      <c r="AE14" s="527"/>
      <c r="AF14" s="537"/>
      <c r="AG14" s="527"/>
      <c r="AH14" s="537"/>
      <c r="AI14" s="527"/>
      <c r="AJ14" s="537"/>
      <c r="AK14" s="527"/>
      <c r="AL14" s="537"/>
      <c r="AM14" s="527"/>
      <c r="AN14" s="537"/>
      <c r="AO14" s="527"/>
      <c r="AP14" s="537"/>
      <c r="AQ14" s="527"/>
      <c r="AR14" s="537"/>
      <c r="AS14" s="527"/>
      <c r="AT14" s="537"/>
      <c r="AU14" s="527"/>
      <c r="AV14" s="537"/>
      <c r="AW14" s="527"/>
      <c r="AX14" s="537"/>
      <c r="AY14" s="527"/>
      <c r="BA14" s="666"/>
      <c r="BB14" s="662">
        <v>7</v>
      </c>
      <c r="BC14" s="669" t="s">
        <v>491</v>
      </c>
      <c r="BD14" s="664" t="s">
        <v>78</v>
      </c>
      <c r="BE14" s="657" t="str">
        <f t="shared" si="19"/>
        <v>N/A</v>
      </c>
      <c r="BF14" s="668" t="s">
        <v>82</v>
      </c>
      <c r="BG14" s="662" t="str">
        <f t="shared" si="0"/>
        <v>N/A</v>
      </c>
      <c r="BH14" s="661" t="str">
        <f t="shared" si="20"/>
        <v>N/A</v>
      </c>
      <c r="BI14" s="670" t="str">
        <f t="shared" si="1"/>
        <v>N/A</v>
      </c>
      <c r="BJ14" s="670" t="str">
        <f t="shared" si="2"/>
        <v>N/A</v>
      </c>
      <c r="BK14" s="670" t="str">
        <f t="shared" si="3"/>
        <v>N/A</v>
      </c>
      <c r="BL14" s="670" t="str">
        <f t="shared" si="4"/>
        <v>N/A</v>
      </c>
      <c r="BM14" s="670" t="str">
        <f t="shared" si="5"/>
        <v>N/A</v>
      </c>
      <c r="BN14" s="661" t="str">
        <f t="shared" si="6"/>
        <v>N/A</v>
      </c>
      <c r="BO14" s="661" t="str">
        <f t="shared" si="7"/>
        <v>N/A</v>
      </c>
      <c r="BP14" s="661" t="str">
        <f t="shared" si="8"/>
        <v>N/A</v>
      </c>
      <c r="BQ14" s="661" t="str">
        <f t="shared" si="9"/>
        <v>N/A</v>
      </c>
      <c r="BR14" s="661" t="str">
        <f t="shared" si="10"/>
        <v>N/A</v>
      </c>
      <c r="BS14" s="661" t="str">
        <f t="shared" si="11"/>
        <v>N/A</v>
      </c>
      <c r="BT14" s="661" t="str">
        <f t="shared" si="12"/>
        <v>N/A</v>
      </c>
      <c r="BU14" s="661" t="str">
        <f t="shared" si="13"/>
        <v>N/A</v>
      </c>
      <c r="BV14" s="661" t="str">
        <f t="shared" si="14"/>
        <v>N/A</v>
      </c>
      <c r="BW14" s="661" t="str">
        <f t="shared" si="15"/>
        <v>N/A</v>
      </c>
      <c r="BX14" s="661" t="str">
        <f t="shared" si="16"/>
        <v>N/A</v>
      </c>
      <c r="BY14" s="661" t="str">
        <f t="shared" si="21"/>
        <v>N/A</v>
      </c>
      <c r="BZ14" s="661" t="str">
        <f t="shared" si="17"/>
        <v>N/A</v>
      </c>
      <c r="CA14" s="661" t="str">
        <f t="shared" si="18"/>
        <v>N/A</v>
      </c>
      <c r="CB14" s="489"/>
      <c r="CC14" s="641">
        <v>51</v>
      </c>
      <c r="CD14" s="641" t="s">
        <v>329</v>
      </c>
      <c r="CE14" s="642">
        <v>16713.88</v>
      </c>
      <c r="CF14" s="643">
        <v>6859</v>
      </c>
      <c r="CG14" s="643">
        <v>0</v>
      </c>
      <c r="CH14" s="643">
        <v>7769</v>
      </c>
    </row>
    <row r="15" spans="1:86" s="227" customFormat="1" ht="20.25" customHeight="1">
      <c r="A15" s="221"/>
      <c r="B15" s="212">
        <v>126</v>
      </c>
      <c r="C15" s="229">
        <v>8</v>
      </c>
      <c r="D15" s="232" t="s">
        <v>273</v>
      </c>
      <c r="E15" s="229"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X15" s="538"/>
      <c r="AY15" s="524"/>
      <c r="BA15" s="666"/>
      <c r="BB15" s="657">
        <v>8</v>
      </c>
      <c r="BC15" s="671" t="s">
        <v>126</v>
      </c>
      <c r="BD15" s="664" t="s">
        <v>78</v>
      </c>
      <c r="BE15" s="657" t="str">
        <f t="shared" si="19"/>
        <v>N/A</v>
      </c>
      <c r="BF15" s="668" t="s">
        <v>82</v>
      </c>
      <c r="BG15" s="662" t="str">
        <f t="shared" si="0"/>
        <v>N/A</v>
      </c>
      <c r="BH15" s="661" t="str">
        <f t="shared" si="20"/>
        <v>N/A</v>
      </c>
      <c r="BI15" s="664" t="str">
        <f t="shared" si="1"/>
        <v>N/A</v>
      </c>
      <c r="BJ15" s="664" t="str">
        <f t="shared" si="2"/>
        <v>N/A</v>
      </c>
      <c r="BK15" s="664" t="str">
        <f t="shared" si="3"/>
        <v>N/A</v>
      </c>
      <c r="BL15" s="664" t="str">
        <f t="shared" si="4"/>
        <v>N/A</v>
      </c>
      <c r="BM15" s="664" t="str">
        <f t="shared" si="5"/>
        <v>N/A</v>
      </c>
      <c r="BN15" s="661" t="str">
        <f t="shared" si="6"/>
        <v>N/A</v>
      </c>
      <c r="BO15" s="661" t="str">
        <f t="shared" si="7"/>
        <v>N/A</v>
      </c>
      <c r="BP15" s="661" t="str">
        <f t="shared" si="8"/>
        <v>N/A</v>
      </c>
      <c r="BQ15" s="661" t="str">
        <f t="shared" si="9"/>
        <v>N/A</v>
      </c>
      <c r="BR15" s="661" t="str">
        <f t="shared" si="10"/>
        <v>N/A</v>
      </c>
      <c r="BS15" s="661" t="str">
        <f t="shared" si="11"/>
        <v>N/A</v>
      </c>
      <c r="BT15" s="661" t="str">
        <f t="shared" si="12"/>
        <v>N/A</v>
      </c>
      <c r="BU15" s="661" t="str">
        <f t="shared" si="13"/>
        <v>N/A</v>
      </c>
      <c r="BV15" s="661" t="str">
        <f t="shared" si="14"/>
        <v>N/A</v>
      </c>
      <c r="BW15" s="661" t="str">
        <f t="shared" si="15"/>
        <v>N/A</v>
      </c>
      <c r="BX15" s="661" t="str">
        <f t="shared" si="16"/>
        <v>N/A</v>
      </c>
      <c r="BY15" s="661" t="str">
        <f t="shared" si="21"/>
        <v>N/A</v>
      </c>
      <c r="BZ15" s="661" t="str">
        <f t="shared" si="17"/>
        <v>N/A</v>
      </c>
      <c r="CA15" s="661" t="str">
        <f t="shared" si="18"/>
        <v>N/A</v>
      </c>
      <c r="CB15" s="489"/>
      <c r="CC15" s="641">
        <v>31</v>
      </c>
      <c r="CD15" s="641" t="s">
        <v>330</v>
      </c>
      <c r="CE15" s="642">
        <v>38710.2</v>
      </c>
      <c r="CF15" s="643">
        <v>8115</v>
      </c>
      <c r="CG15" s="643">
        <v>19760</v>
      </c>
      <c r="CH15" s="643">
        <v>34675</v>
      </c>
    </row>
    <row r="16" spans="1:86" s="227" customFormat="1" ht="30" customHeight="1">
      <c r="A16" s="221"/>
      <c r="B16" s="212">
        <v>128</v>
      </c>
      <c r="C16" s="234">
        <v>9</v>
      </c>
      <c r="D16" s="235" t="s">
        <v>85</v>
      </c>
      <c r="E16" s="234" t="s">
        <v>298</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X16" s="539"/>
      <c r="AY16" s="525"/>
      <c r="BA16" s="666"/>
      <c r="BB16" s="672">
        <v>9</v>
      </c>
      <c r="BC16" s="671" t="s">
        <v>85</v>
      </c>
      <c r="BD16" s="664" t="s">
        <v>78</v>
      </c>
      <c r="BE16" s="657" t="str">
        <f t="shared" si="19"/>
        <v>N/A</v>
      </c>
      <c r="BF16" s="668" t="s">
        <v>82</v>
      </c>
      <c r="BG16" s="672" t="str">
        <f t="shared" si="0"/>
        <v>N/A</v>
      </c>
      <c r="BH16" s="661" t="str">
        <f t="shared" si="20"/>
        <v>N/A</v>
      </c>
      <c r="BI16" s="670" t="str">
        <f t="shared" si="1"/>
        <v>N/A</v>
      </c>
      <c r="BJ16" s="670" t="str">
        <f t="shared" si="2"/>
        <v>N/A</v>
      </c>
      <c r="BK16" s="670" t="str">
        <f t="shared" si="3"/>
        <v>N/A</v>
      </c>
      <c r="BL16" s="670" t="str">
        <f t="shared" si="4"/>
        <v>N/A</v>
      </c>
      <c r="BM16" s="670" t="str">
        <f t="shared" si="5"/>
        <v>N/A</v>
      </c>
      <c r="BN16" s="661" t="str">
        <f t="shared" si="6"/>
        <v>N/A</v>
      </c>
      <c r="BO16" s="661" t="str">
        <f t="shared" si="7"/>
        <v>N/A</v>
      </c>
      <c r="BP16" s="661" t="str">
        <f t="shared" si="8"/>
        <v>N/A</v>
      </c>
      <c r="BQ16" s="661" t="str">
        <f t="shared" si="9"/>
        <v>N/A</v>
      </c>
      <c r="BR16" s="661" t="str">
        <f t="shared" si="10"/>
        <v>N/A</v>
      </c>
      <c r="BS16" s="661" t="str">
        <f t="shared" si="11"/>
        <v>N/A</v>
      </c>
      <c r="BT16" s="661" t="str">
        <f t="shared" si="12"/>
        <v>N/A</v>
      </c>
      <c r="BU16" s="661" t="str">
        <f t="shared" si="13"/>
        <v>N/A</v>
      </c>
      <c r="BV16" s="661" t="str">
        <f t="shared" si="14"/>
        <v>N/A</v>
      </c>
      <c r="BW16" s="661" t="str">
        <f t="shared" si="15"/>
        <v>N/A</v>
      </c>
      <c r="BX16" s="661" t="str">
        <f t="shared" si="16"/>
        <v>N/A</v>
      </c>
      <c r="BY16" s="661" t="str">
        <f t="shared" si="21"/>
        <v>N/A</v>
      </c>
      <c r="BZ16" s="661" t="str">
        <f t="shared" si="17"/>
        <v>N/A</v>
      </c>
      <c r="CA16" s="661" t="str">
        <f t="shared" si="18"/>
        <v>N/A</v>
      </c>
      <c r="CB16" s="489"/>
      <c r="CC16" s="641">
        <v>44</v>
      </c>
      <c r="CD16" s="641" t="s">
        <v>331</v>
      </c>
      <c r="CE16" s="642">
        <v>17932.960000000003</v>
      </c>
      <c r="CF16" s="643">
        <v>700</v>
      </c>
      <c r="CG16" s="643">
        <v>0</v>
      </c>
      <c r="CH16" s="643">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6"/>
      <c r="BB17" s="673"/>
      <c r="BC17" s="674"/>
      <c r="BD17" s="675"/>
      <c r="BE17" s="673"/>
      <c r="BF17" s="676"/>
      <c r="BG17" s="673"/>
      <c r="BH17" s="675"/>
      <c r="BI17" s="676"/>
      <c r="BJ17" s="676"/>
      <c r="BK17" s="676"/>
      <c r="BL17" s="675"/>
      <c r="BM17" s="675"/>
      <c r="BN17" s="675"/>
      <c r="BO17" s="675"/>
      <c r="BP17" s="675"/>
      <c r="BQ17" s="675"/>
      <c r="BR17" s="675"/>
      <c r="BS17" s="675"/>
      <c r="BT17" s="675"/>
      <c r="BU17" s="675"/>
      <c r="BV17" s="675"/>
      <c r="BW17" s="675"/>
      <c r="BX17" s="675"/>
      <c r="BY17" s="675"/>
      <c r="BZ17" s="675"/>
      <c r="CA17" s="675"/>
      <c r="CB17" s="489"/>
      <c r="CC17" s="641">
        <v>48</v>
      </c>
      <c r="CD17" s="641" t="s">
        <v>332</v>
      </c>
      <c r="CE17" s="642">
        <v>64.74000000000001</v>
      </c>
      <c r="CF17" s="643">
        <v>4</v>
      </c>
      <c r="CG17" s="643">
        <v>0</v>
      </c>
      <c r="CH17" s="643">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6"/>
      <c r="BB18" s="646"/>
      <c r="BC18" s="646"/>
      <c r="BD18" s="646"/>
      <c r="BE18" s="646"/>
      <c r="BF18" s="646"/>
      <c r="BG18" s="646"/>
      <c r="BH18" s="646"/>
      <c r="BI18" s="646"/>
      <c r="BJ18" s="646"/>
      <c r="BK18" s="646"/>
      <c r="BL18" s="646"/>
      <c r="BM18" s="646"/>
      <c r="BN18" s="646"/>
      <c r="BO18" s="646"/>
      <c r="BP18" s="646"/>
      <c r="BQ18" s="646"/>
      <c r="BR18" s="646"/>
      <c r="BS18" s="646"/>
      <c r="BT18" s="646"/>
      <c r="BU18" s="646"/>
      <c r="BV18" s="646"/>
      <c r="BW18" s="646"/>
      <c r="BX18" s="646"/>
      <c r="BY18" s="646"/>
      <c r="BZ18" s="646"/>
      <c r="CA18" s="646"/>
      <c r="CB18" s="489"/>
      <c r="CC18" s="641">
        <v>50</v>
      </c>
      <c r="CD18" s="641" t="s">
        <v>333</v>
      </c>
      <c r="CE18" s="642">
        <v>393421.62</v>
      </c>
      <c r="CF18" s="643">
        <v>105000</v>
      </c>
      <c r="CG18" s="643">
        <v>1122000</v>
      </c>
      <c r="CH18" s="643">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2" t="s">
        <v>595</v>
      </c>
      <c r="CB19" s="489"/>
      <c r="CC19" s="641">
        <v>52</v>
      </c>
      <c r="CD19" s="641" t="s">
        <v>334</v>
      </c>
      <c r="CE19" s="642">
        <v>611.46</v>
      </c>
      <c r="CF19" s="643">
        <v>80</v>
      </c>
      <c r="CG19" s="643">
        <v>0</v>
      </c>
      <c r="CH19" s="643">
        <v>80</v>
      </c>
    </row>
    <row r="20" spans="3:86" ht="15.75" customHeight="1">
      <c r="C20" s="245" t="s">
        <v>142</v>
      </c>
      <c r="D20" s="814" t="s">
        <v>258</v>
      </c>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B20" s="654" t="s">
        <v>286</v>
      </c>
      <c r="BC20" s="654" t="s">
        <v>287</v>
      </c>
      <c r="BD20" s="655" t="s">
        <v>290</v>
      </c>
      <c r="BE20" s="654" t="s">
        <v>314</v>
      </c>
      <c r="BF20" s="655">
        <v>2000</v>
      </c>
      <c r="BG20" s="655">
        <v>2001</v>
      </c>
      <c r="BH20" s="655">
        <v>2002</v>
      </c>
      <c r="BI20" s="655">
        <v>2003</v>
      </c>
      <c r="BJ20" s="655">
        <v>2004</v>
      </c>
      <c r="BK20" s="655">
        <v>2005</v>
      </c>
      <c r="BL20" s="655">
        <v>2006</v>
      </c>
      <c r="BM20" s="655">
        <v>2007</v>
      </c>
      <c r="BN20" s="655">
        <v>2008</v>
      </c>
      <c r="BO20" s="655">
        <v>2009</v>
      </c>
      <c r="BP20" s="655">
        <v>2010</v>
      </c>
      <c r="BQ20" s="655">
        <v>2011</v>
      </c>
      <c r="BR20" s="655">
        <v>2012</v>
      </c>
      <c r="BS20" s="655">
        <v>2013</v>
      </c>
      <c r="BT20" s="655">
        <v>2014</v>
      </c>
      <c r="BU20" s="655">
        <v>2015</v>
      </c>
      <c r="BV20" s="655">
        <v>2016</v>
      </c>
      <c r="BW20" s="655">
        <v>2017</v>
      </c>
      <c r="BX20" s="655">
        <v>2018</v>
      </c>
      <c r="BY20" s="655">
        <v>2019</v>
      </c>
      <c r="BZ20" s="655">
        <v>2020</v>
      </c>
      <c r="CA20" s="655">
        <v>2021</v>
      </c>
      <c r="CB20" s="489"/>
      <c r="CC20" s="641">
        <v>112</v>
      </c>
      <c r="CD20" s="641" t="s">
        <v>335</v>
      </c>
      <c r="CE20" s="642">
        <v>128296.79999999999</v>
      </c>
      <c r="CF20" s="643">
        <v>34000</v>
      </c>
      <c r="CG20" s="643">
        <v>23900</v>
      </c>
      <c r="CH20" s="643">
        <v>57900</v>
      </c>
    </row>
    <row r="21" spans="3:86" ht="15.75" customHeight="1">
      <c r="C21" s="245" t="s">
        <v>142</v>
      </c>
      <c r="D21" s="814" t="s">
        <v>241</v>
      </c>
      <c r="E21" s="814"/>
      <c r="F21" s="814"/>
      <c r="G21" s="814"/>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4"/>
      <c r="AY21" s="814"/>
      <c r="AZ21" s="814"/>
      <c r="BB21" s="657">
        <v>3</v>
      </c>
      <c r="BC21" s="663" t="s">
        <v>19</v>
      </c>
      <c r="BD21" s="662" t="s">
        <v>298</v>
      </c>
      <c r="BE21" s="662">
        <f>F10</f>
        <v>1467.09997558594</v>
      </c>
      <c r="BF21" s="662">
        <f>H10</f>
        <v>1886.30004882812</v>
      </c>
      <c r="BG21" s="662">
        <f>J10</f>
        <v>2269.30004882812</v>
      </c>
      <c r="BH21" s="662">
        <f>L10</f>
        <v>1666.09997558594</v>
      </c>
      <c r="BI21" s="662">
        <f>N10</f>
        <v>1077.19995117188</v>
      </c>
      <c r="BJ21" s="662">
        <f>P10</f>
        <v>589.900024414062</v>
      </c>
      <c r="BK21" s="662">
        <f>R10</f>
        <v>2353.10009765625</v>
      </c>
      <c r="BL21" s="662">
        <f>T10</f>
        <v>1674.80004882812</v>
      </c>
      <c r="BM21" s="662">
        <f>V10</f>
        <v>338.600006103516</v>
      </c>
      <c r="BN21" s="662">
        <f>X10</f>
        <v>1944</v>
      </c>
      <c r="BO21" s="662">
        <f>Z10</f>
        <v>889.900024414062</v>
      </c>
      <c r="BP21" s="662">
        <f>AB10</f>
        <v>1271</v>
      </c>
      <c r="BQ21" s="662">
        <f>AD10</f>
        <v>283.799987792969</v>
      </c>
      <c r="BR21" s="662">
        <f>AF10</f>
        <v>812.299987792969</v>
      </c>
      <c r="BS21" s="662">
        <f>AH10</f>
        <v>2094.10009765625</v>
      </c>
      <c r="BT21" s="662">
        <f>AJ10</f>
        <v>1782.59997558594</v>
      </c>
      <c r="BU21" s="662">
        <f>AL10</f>
        <v>1019.5</v>
      </c>
      <c r="BV21" s="662">
        <f>AN10</f>
        <v>0</v>
      </c>
      <c r="BW21" s="662">
        <f>AP10</f>
        <v>0</v>
      </c>
      <c r="BX21" s="662">
        <f>AR10</f>
        <v>0</v>
      </c>
      <c r="BY21" s="662">
        <f>AT10</f>
        <v>0</v>
      </c>
      <c r="BZ21" s="662">
        <f>AV10</f>
        <v>0</v>
      </c>
      <c r="CA21" s="662">
        <f>AX10</f>
        <v>0</v>
      </c>
      <c r="CB21" s="489"/>
      <c r="CC21" s="641">
        <v>84</v>
      </c>
      <c r="CD21" s="641" t="s">
        <v>336</v>
      </c>
      <c r="CE21" s="642">
        <v>39163.85</v>
      </c>
      <c r="CF21" s="643">
        <v>15260</v>
      </c>
      <c r="CG21" s="643">
        <v>6042</v>
      </c>
      <c r="CH21" s="643">
        <v>21734</v>
      </c>
    </row>
    <row r="22" spans="1:86" ht="15.75" customHeight="1">
      <c r="A22" s="247"/>
      <c r="C22" s="245" t="s">
        <v>142</v>
      </c>
      <c r="D22" s="824" t="s">
        <v>143</v>
      </c>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4"/>
      <c r="AY22" s="824"/>
      <c r="AZ22" s="824"/>
      <c r="BB22" s="677">
        <v>10</v>
      </c>
      <c r="BC22" s="678" t="s">
        <v>37</v>
      </c>
      <c r="BD22" s="662" t="s">
        <v>298</v>
      </c>
      <c r="BE22" s="662">
        <f>(F8-F9)</f>
        <v>1467.10009765625</v>
      </c>
      <c r="BF22" s="662">
        <f>(H8-H9)</f>
        <v>1886.30004882812</v>
      </c>
      <c r="BG22" s="662">
        <f>(J8-J9)</f>
        <v>2269.30004882812</v>
      </c>
      <c r="BH22" s="662">
        <f>(L8-L9)</f>
        <v>1666.09997558594</v>
      </c>
      <c r="BI22" s="662">
        <f>(N8-N9)</f>
        <v>1077.19995117188</v>
      </c>
      <c r="BJ22" s="662">
        <f>(P8-P9)</f>
        <v>589.90002441406</v>
      </c>
      <c r="BK22" s="662">
        <f>(R8-R9)</f>
        <v>2353.0999755859402</v>
      </c>
      <c r="BL22" s="662">
        <f>(T8-T9)</f>
        <v>1674.80004882812</v>
      </c>
      <c r="BM22" s="662">
        <f>(V8-V9)</f>
        <v>338.59997558594</v>
      </c>
      <c r="BN22" s="662">
        <f>(X8-X9)</f>
        <v>1944</v>
      </c>
      <c r="BO22" s="662">
        <f>(Z8-Z9)</f>
        <v>889.89990234376</v>
      </c>
      <c r="BP22" s="662">
        <f>(AB8-AB9)</f>
        <v>1271.00012207031</v>
      </c>
      <c r="BQ22" s="662">
        <f>(AD8-AD9)</f>
        <v>283.80004882812</v>
      </c>
      <c r="BR22" s="662">
        <f>(AF8-AF9)</f>
        <v>812.30004882812</v>
      </c>
      <c r="BS22" s="662">
        <f>(AH8-AH9)</f>
        <v>2094.10009765624</v>
      </c>
      <c r="BT22" s="662">
        <f>(AJ8-AJ9)</f>
        <v>1782.59985351563</v>
      </c>
      <c r="BU22" s="662">
        <f>(AL8-AL9)</f>
        <v>1019.5</v>
      </c>
      <c r="BV22" s="662">
        <f>(AN8-AN9)</f>
        <v>0</v>
      </c>
      <c r="BW22" s="662">
        <f>(AP8-AP9)</f>
        <v>0</v>
      </c>
      <c r="BX22" s="662">
        <f>(AR8-AR9)</f>
        <v>0</v>
      </c>
      <c r="BY22" s="662">
        <f>(AT8-AT9)</f>
        <v>0</v>
      </c>
      <c r="BZ22" s="662">
        <f>(AV8-AV9)</f>
        <v>0</v>
      </c>
      <c r="CA22" s="662">
        <f>(AX8-AX9)</f>
        <v>0</v>
      </c>
      <c r="CB22" s="489"/>
      <c r="CC22" s="641">
        <v>204</v>
      </c>
      <c r="CD22" s="641" t="s">
        <v>337</v>
      </c>
      <c r="CE22" s="642">
        <v>119235.64</v>
      </c>
      <c r="CF22" s="643">
        <v>10300</v>
      </c>
      <c r="CG22" s="643">
        <v>0</v>
      </c>
      <c r="CH22" s="643">
        <v>26390</v>
      </c>
    </row>
    <row r="23" spans="1:86" ht="15.75" customHeight="1">
      <c r="A23" s="247"/>
      <c r="B23" s="247"/>
      <c r="C23" s="245" t="s">
        <v>142</v>
      </c>
      <c r="D23" s="814" t="s">
        <v>110</v>
      </c>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c r="AT23" s="814"/>
      <c r="AU23" s="814"/>
      <c r="AV23" s="814"/>
      <c r="AW23" s="814"/>
      <c r="AX23" s="814"/>
      <c r="AY23" s="814"/>
      <c r="AZ23" s="814"/>
      <c r="BA23" s="679"/>
      <c r="BB23" s="680" t="s">
        <v>176</v>
      </c>
      <c r="BC23" s="678" t="s">
        <v>217</v>
      </c>
      <c r="BD23" s="662"/>
      <c r="BE23" s="662" t="str">
        <f>IF(OR(ISBLANK(F8),ISBLANK(F9),ISBLANK(F10)),"N/A",IF((BE21=BE22),"ok","&lt;&gt;"))</f>
        <v>&lt;&gt;</v>
      </c>
      <c r="BF23" s="662" t="str">
        <f>IF(OR(ISBLANK(H8),ISBLANK(H9),ISBLANK(H10)),"N/A",IF((BF21=BF22),"ok","&lt;&gt;"))</f>
        <v>ok</v>
      </c>
      <c r="BG23" s="662" t="str">
        <f>IF(OR(ISBLANK(P8),ISBLANK(P9),ISBLANK(P10)),"N/A",IF((BG21=BG22),"ok","&lt;&gt;"))</f>
        <v>ok</v>
      </c>
      <c r="BH23" s="662" t="str">
        <f>IF(OR(ISBLANK(L8),ISBLANK(L9),ISBLANK(L10)),"N/A",IF((BH21=BH22),"ok","&lt;&gt;"))</f>
        <v>ok</v>
      </c>
      <c r="BI23" s="662" t="str">
        <f>IF(OR(ISBLANK(N8),ISBLANK(N9),ISBLANK(N10)),"N/A",IF((BI21=BI22),"ok","&lt;&gt;"))</f>
        <v>ok</v>
      </c>
      <c r="BJ23" s="662" t="str">
        <f>IF(OR(ISBLANK(P8),ISBLANK(P9),ISBLANK(P10)),"N/A",IF((BJ21=BJ22),"ok","&lt;&gt;"))</f>
        <v>&lt;&gt;</v>
      </c>
      <c r="BK23" s="662" t="str">
        <f>IF(OR(ISBLANK(R8),ISBLANK(R9),ISBLANK(R10)),"N/A",IF((BK21=BK22),"ok","&lt;&gt;"))</f>
        <v>&lt;&gt;</v>
      </c>
      <c r="BL23" s="662" t="str">
        <f>IF(OR(ISBLANK(T8),ISBLANK(T9),ISBLANK(T10)),"N/A",IF((BL21=BL22),"ok","&lt;&gt;"))</f>
        <v>ok</v>
      </c>
      <c r="BM23" s="662" t="str">
        <f>IF(OR(ISBLANK(V8),ISBLANK(V9),ISBLANK(V10)),"N/A",IF((BM21=BM22),"ok","&lt;&gt;"))</f>
        <v>&lt;&gt;</v>
      </c>
      <c r="BN23" s="662" t="str">
        <f>IF(OR(ISBLANK(X8),ISBLANK(X9),ISBLANK(X10)),"N/A",IF((BN21=BN22),"ok","&lt;&gt;"))</f>
        <v>ok</v>
      </c>
      <c r="BO23" s="662" t="str">
        <f>IF(OR(ISBLANK(Z8),ISBLANK(Z9),ISBLANK(Z10)),"N/A",IF((BO21=BO22),"ok","&lt;&gt;"))</f>
        <v>&lt;&gt;</v>
      </c>
      <c r="BP23" s="662" t="str">
        <f>IF(OR(ISBLANK(AB8),ISBLANK(AB9),ISBLANK(AB10)),"N/A",IF((BP21=BP22),"ok","&lt;&gt;"))</f>
        <v>&lt;&gt;</v>
      </c>
      <c r="BQ23" s="662" t="str">
        <f>IF(OR(ISBLANK(AD8),ISBLANK(AD9),ISBLANK(AD10)),"N/A",IF((BQ21=BQ22),"ok","&lt;&gt;"))</f>
        <v>&lt;&gt;</v>
      </c>
      <c r="BR23" s="662" t="str">
        <f>IF(OR(ISBLANK(AF8),ISBLANK(AF9),ISBLANK(AF10)),"N/A",IF((BR21=BR22),"ok","&lt;&gt;"))</f>
        <v>&lt;&gt;</v>
      </c>
      <c r="BS23" s="662" t="str">
        <f>IF(OR(ISBLANK(AH8),ISBLANK(AH9),ISBLANK(AH10)),"N/A",IF((BS21=BS22),"ok","&lt;&gt;"))</f>
        <v>&lt;&gt;</v>
      </c>
      <c r="BT23" s="662" t="str">
        <f>IF(OR(ISBLANK(AJ8),ISBLANK(AJ9),ISBLANK(AJ10)),"N/A",IF((BT21=BT22),"ok","&lt;&gt;"))</f>
        <v>&lt;&gt;</v>
      </c>
      <c r="BU23" s="662" t="str">
        <f>IF(OR(ISBLANK(AL8),ISBLANK(AL9),ISBLANK(AL10)),"N/A",IF((BU21=BU22),"ok","&lt;&gt;"))</f>
        <v>ok</v>
      </c>
      <c r="BV23" s="662" t="str">
        <f>IF(OR(ISBLANK(AN8),ISBLANK(AN9),ISBLANK(AN10)),"N/A",IF((BV21=BV22),"ok","&lt;&gt;"))</f>
        <v>N/A</v>
      </c>
      <c r="BW23" s="662" t="str">
        <f>IF(OR(ISBLANK(AP8),ISBLANK(AP9),ISBLANK(AP10)),"N/A",IF((BW21=BW22),"ok","&lt;&gt;"))</f>
        <v>N/A</v>
      </c>
      <c r="BX23" s="662" t="str">
        <f>IF(OR(ISBLANK(AR8),ISBLANK(AR9),ISBLANK(AR10)),"N/A",IF((BX21=BX22),"ok","&lt;&gt;"))</f>
        <v>N/A</v>
      </c>
      <c r="BY23" s="662" t="str">
        <f>IF(OR(ISBLANK(AT8),ISBLANK(AT9),ISBLANK(AT10)),"N/A",IF((BY21=BY22),"ok","&lt;&gt;"))</f>
        <v>N/A</v>
      </c>
      <c r="BZ23" s="662" t="str">
        <f>IF(OR(ISBLANK(AV8),ISBLANK(AV9),ISBLANK(AV10)),"N/A",IF((BZ21=BZ22),"ok","&lt;&gt;"))</f>
        <v>N/A</v>
      </c>
      <c r="CA23" s="662" t="str">
        <f>IF(OR(ISBLANK(AX8),ISBLANK(AX9),ISBLANK(AX10)),"N/A",IF((CA21=CA22),"ok","&lt;&gt;"))</f>
        <v>N/A</v>
      </c>
      <c r="CB23" s="489"/>
      <c r="CC23" s="641">
        <v>60</v>
      </c>
      <c r="CD23" s="641" t="s">
        <v>338</v>
      </c>
      <c r="CE23" s="642">
        <v>0</v>
      </c>
      <c r="CF23" s="643">
        <v>0</v>
      </c>
      <c r="CG23" s="643">
        <v>0</v>
      </c>
      <c r="CH23" s="643">
        <v>0</v>
      </c>
    </row>
    <row r="24" spans="1:86" ht="27" customHeight="1">
      <c r="A24" s="247"/>
      <c r="B24" s="247"/>
      <c r="C24" s="245"/>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B24" s="657">
        <v>5</v>
      </c>
      <c r="BC24" s="667" t="s">
        <v>18</v>
      </c>
      <c r="BD24" s="662" t="s">
        <v>298</v>
      </c>
      <c r="BE24" s="662">
        <f>F12</f>
        <v>1467.09997558594</v>
      </c>
      <c r="BF24" s="662">
        <f>H12</f>
        <v>1886.30004882812</v>
      </c>
      <c r="BG24" s="662">
        <f>P12</f>
        <v>589.900024414062</v>
      </c>
      <c r="BH24" s="662">
        <f>L12</f>
        <v>1666.09997558594</v>
      </c>
      <c r="BI24" s="662">
        <f>N12</f>
        <v>1077.19995117188</v>
      </c>
      <c r="BJ24" s="662">
        <f>P12</f>
        <v>589.900024414062</v>
      </c>
      <c r="BK24" s="662">
        <f>R12</f>
        <v>2353.10009765625</v>
      </c>
      <c r="BL24" s="662">
        <f>T12</f>
        <v>1674.80004882812</v>
      </c>
      <c r="BM24" s="662">
        <f>V12</f>
        <v>338.600006103516</v>
      </c>
      <c r="BN24" s="662">
        <f>X12</f>
        <v>1944</v>
      </c>
      <c r="BO24" s="662">
        <f>Z12</f>
        <v>889.900024414062</v>
      </c>
      <c r="BP24" s="662">
        <f>AB12</f>
        <v>1271</v>
      </c>
      <c r="BQ24" s="662">
        <f>AD12</f>
        <v>283.799987792969</v>
      </c>
      <c r="BR24" s="662">
        <f>AF12</f>
        <v>812.299987792969</v>
      </c>
      <c r="BS24" s="662">
        <f>AH12</f>
        <v>2094.10009765625</v>
      </c>
      <c r="BT24" s="662">
        <f>AJ12</f>
        <v>1782.59997558594</v>
      </c>
      <c r="BU24" s="662">
        <f>AL12</f>
        <v>1019.5</v>
      </c>
      <c r="BV24" s="662">
        <f>AN12</f>
        <v>0</v>
      </c>
      <c r="BW24" s="662">
        <f>AP12</f>
        <v>0</v>
      </c>
      <c r="BX24" s="662">
        <f>AR12</f>
        <v>0</v>
      </c>
      <c r="BY24" s="662">
        <f>AT12</f>
        <v>0</v>
      </c>
      <c r="BZ24" s="662">
        <f>AV12</f>
        <v>0</v>
      </c>
      <c r="CA24" s="662">
        <f>AX12</f>
        <v>0</v>
      </c>
      <c r="CB24" s="489"/>
      <c r="CC24" s="641">
        <v>64</v>
      </c>
      <c r="CD24" s="641" t="s">
        <v>339</v>
      </c>
      <c r="CE24" s="642">
        <v>84458</v>
      </c>
      <c r="CF24" s="643">
        <v>78000</v>
      </c>
      <c r="CG24" s="643">
        <v>0</v>
      </c>
      <c r="CH24" s="643">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77">
        <v>11</v>
      </c>
      <c r="BC25" s="678" t="s">
        <v>38</v>
      </c>
      <c r="BD25" s="662" t="s">
        <v>298</v>
      </c>
      <c r="BE25" s="662">
        <f>F10+F11</f>
        <v>1467.09997558594</v>
      </c>
      <c r="BF25" s="662">
        <f>H10+H11</f>
        <v>1886.30004882812</v>
      </c>
      <c r="BG25" s="662">
        <f>P10+P11</f>
        <v>589.900024414062</v>
      </c>
      <c r="BH25" s="662">
        <f>L10+L11</f>
        <v>1666.09997558594</v>
      </c>
      <c r="BI25" s="662">
        <f>N10+N11</f>
        <v>1077.19995117188</v>
      </c>
      <c r="BJ25" s="662">
        <f>P10+P11</f>
        <v>589.900024414062</v>
      </c>
      <c r="BK25" s="662">
        <f>R10+R11</f>
        <v>2353.10009765625</v>
      </c>
      <c r="BL25" s="662">
        <f>T10+T11</f>
        <v>1674.80004882812</v>
      </c>
      <c r="BM25" s="662">
        <f>V10+V11</f>
        <v>338.600006103516</v>
      </c>
      <c r="BN25" s="662">
        <f>X10+X11</f>
        <v>1944</v>
      </c>
      <c r="BO25" s="662">
        <f>Z10+Z11</f>
        <v>889.900024414062</v>
      </c>
      <c r="BP25" s="662">
        <f>AB10+AB11</f>
        <v>1271</v>
      </c>
      <c r="BQ25" s="662">
        <f>AD10+AD11</f>
        <v>283.799987792969</v>
      </c>
      <c r="BR25" s="662">
        <f>AF10+AF11</f>
        <v>812.299987792969</v>
      </c>
      <c r="BS25" s="662">
        <f>AH10+AH11</f>
        <v>2094.10009765625</v>
      </c>
      <c r="BT25" s="662">
        <f>AJ10+AJ11</f>
        <v>1782.59997558594</v>
      </c>
      <c r="BU25" s="662">
        <f>AL10+AL11</f>
        <v>1019.5</v>
      </c>
      <c r="BV25" s="662">
        <f>AN10+AN11</f>
        <v>0</v>
      </c>
      <c r="BW25" s="662">
        <f>AP10+AP11</f>
        <v>0</v>
      </c>
      <c r="BX25" s="662">
        <f>AR10+AR11</f>
        <v>0</v>
      </c>
      <c r="BY25" s="662">
        <f>AT10+AT11</f>
        <v>0</v>
      </c>
      <c r="BZ25" s="662">
        <f>AV10+AV11</f>
        <v>0</v>
      </c>
      <c r="CA25" s="662">
        <f>AX10+AX11</f>
        <v>0</v>
      </c>
      <c r="CB25" s="489"/>
      <c r="CC25" s="641">
        <v>68</v>
      </c>
      <c r="CD25" s="641" t="s">
        <v>147</v>
      </c>
      <c r="CE25" s="642">
        <v>1258972.6800000002</v>
      </c>
      <c r="CF25" s="643">
        <v>303500</v>
      </c>
      <c r="CG25" s="643">
        <v>259000</v>
      </c>
      <c r="CH25" s="643">
        <v>574000</v>
      </c>
    </row>
    <row r="26" spans="1:86" ht="36" customHeight="1">
      <c r="A26" s="247"/>
      <c r="B26" s="247"/>
      <c r="F26" s="830" t="str">
        <f>D8&amp;" (W1, 1)"</f>
        <v>Precipitation                               (W1, 1)</v>
      </c>
      <c r="G26" s="831"/>
      <c r="H26" s="831"/>
      <c r="I26" s="832"/>
      <c r="J26" s="255"/>
      <c r="K26" s="255"/>
      <c r="L26" s="255"/>
      <c r="M26" s="830" t="str">
        <f>D9&amp;"(W1, 2)"</f>
        <v>Actual evapotranspiration(W1, 2)</v>
      </c>
      <c r="N26" s="833"/>
      <c r="O26" s="833"/>
      <c r="P26" s="833"/>
      <c r="Q26" s="834"/>
      <c r="R26" s="253"/>
      <c r="S26" s="255"/>
      <c r="T26" s="255"/>
      <c r="U26" s="255"/>
      <c r="V26" s="255"/>
      <c r="W26" s="255"/>
      <c r="X26" s="255"/>
      <c r="Y26" s="255"/>
      <c r="Z26" s="255"/>
      <c r="AA26" s="254"/>
      <c r="AB26" s="800"/>
      <c r="AC26" s="800"/>
      <c r="AD26" s="800"/>
      <c r="AE26" s="800"/>
      <c r="AF26" s="256"/>
      <c r="AG26" s="256"/>
      <c r="AH26" s="256"/>
      <c r="AI26" s="256"/>
      <c r="AJ26" s="800"/>
      <c r="AK26" s="828"/>
      <c r="AL26" s="828"/>
      <c r="AM26" s="828"/>
      <c r="AN26" s="828"/>
      <c r="AO26" s="256"/>
      <c r="AP26" s="256"/>
      <c r="AQ26" s="256"/>
      <c r="AR26" s="256"/>
      <c r="AS26" s="256"/>
      <c r="AT26" s="256"/>
      <c r="AU26" s="256"/>
      <c r="AV26" s="256"/>
      <c r="AW26" s="256"/>
      <c r="AX26" s="256"/>
      <c r="AY26" s="256"/>
      <c r="AZ26" s="252"/>
      <c r="BB26" s="680" t="s">
        <v>176</v>
      </c>
      <c r="BC26" s="678" t="s">
        <v>218</v>
      </c>
      <c r="BD26" s="662"/>
      <c r="BE26" s="662" t="str">
        <f>IF(OR(ISBLANK(F10),ISBLANK(F11)),"N/A",IF((BE24=BE25),"ok","&lt;&gt;"))</f>
        <v>N/A</v>
      </c>
      <c r="BF26" s="662" t="str">
        <f>IF(OR(ISBLANK(H10),ISBLANK(H11)),"N/A",IF((BF24=BF25),"ok","&lt;&gt;"))</f>
        <v>N/A</v>
      </c>
      <c r="BG26" s="662" t="str">
        <f>IF(OR(ISBLANK(P10),ISBLANK(P11)),"N/A",IF((BG24=BG25),"ok","&lt;&gt;"))</f>
        <v>N/A</v>
      </c>
      <c r="BH26" s="662" t="str">
        <f>IF(OR(ISBLANK(L10),ISBLANK(L11)),"N/A",IF((BH24=BH25),"ok","&lt;&gt;"))</f>
        <v>N/A</v>
      </c>
      <c r="BI26" s="662" t="str">
        <f>IF(OR(ISBLANK(N10),ISBLANK(N11)),"N/A",IF((BI24=BI25),"ok","&lt;&gt;"))</f>
        <v>N/A</v>
      </c>
      <c r="BJ26" s="662" t="str">
        <f>IF(OR(ISBLANK(P10),ISBLANK(P11)),"N/A",IF((BJ24=BJ25),"ok","&lt;&gt;"))</f>
        <v>N/A</v>
      </c>
      <c r="BK26" s="662" t="str">
        <f>IF(OR(ISBLANK(R10),ISBLANK(R11)),"N/A",IF((BK24=BK25),"ok","&lt;&gt;"))</f>
        <v>N/A</v>
      </c>
      <c r="BL26" s="662" t="str">
        <f>IF(OR(ISBLANK(T10),ISBLANK(T11)),"N/A",IF((BL24=BL25),"ok","&lt;&gt;"))</f>
        <v>N/A</v>
      </c>
      <c r="BM26" s="662" t="str">
        <f>IF(OR(ISBLANK(V10),ISBLANK(V11)),"N/A",IF((BM24=BM25),"ok","&lt;&gt;"))</f>
        <v>N/A</v>
      </c>
      <c r="BN26" s="662" t="str">
        <f>IF(OR(ISBLANK(X10),ISBLANK(X11)),"N/A",IF((BN24=BN25),"ok","&lt;&gt;"))</f>
        <v>N/A</v>
      </c>
      <c r="BO26" s="662" t="str">
        <f>IF(OR(ISBLANK(Z10),ISBLANK(Z11)),"N/A",IF((BO24=BO25),"ok","&lt;&gt;"))</f>
        <v>N/A</v>
      </c>
      <c r="BP26" s="662" t="str">
        <f>IF(OR(ISBLANK(AB10),ISBLANK(AB11)),"N/A",IF((BP24=BP25),"ok","&lt;&gt;"))</f>
        <v>N/A</v>
      </c>
      <c r="BQ26" s="662" t="str">
        <f>IF(OR(ISBLANK(AD10),ISBLANK(AD11)),"N/A",IF((BQ24=BQ25),"ok","&lt;&gt;"))</f>
        <v>N/A</v>
      </c>
      <c r="BR26" s="662" t="str">
        <f>IF(OR(ISBLANK(AF10),ISBLANK(AF11)),"N/A",IF((BR24=BR25),"ok","&lt;&gt;"))</f>
        <v>N/A</v>
      </c>
      <c r="BS26" s="662" t="str">
        <f>IF(OR(ISBLANK(AH10),ISBLANK(AH11)),"N/A",IF((BS24=BS25),"ok","&lt;&gt;"))</f>
        <v>N/A</v>
      </c>
      <c r="BT26" s="662" t="str">
        <f>IF(OR(ISBLANK(AJ10),ISBLANK(AJ11)),"N/A",IF((BT24=BT25),"ok","&lt;&gt;"))</f>
        <v>N/A</v>
      </c>
      <c r="BU26" s="662" t="str">
        <f>IF(OR(ISBLANK(AL10),ISBLANK(AL11)),"N/A",IF((BU24=BU25),"ok","&lt;&gt;"))</f>
        <v>N/A</v>
      </c>
      <c r="BV26" s="662" t="str">
        <f>IF(OR(ISBLANK(AN10),ISBLANK(AN11)),"N/A",IF((BV24=BV25),"ok","&lt;&gt;"))</f>
        <v>N/A</v>
      </c>
      <c r="BW26" s="662" t="str">
        <f>IF(OR(ISBLANK(AP10),ISBLANK(AP11)),"N/A",IF((BW24=BW25),"ok","&lt;&gt;"))</f>
        <v>N/A</v>
      </c>
      <c r="BX26" s="662" t="str">
        <f>IF(OR(ISBLANK(AR10),ISBLANK(AR11)),"N/A",IF((BX24=BX25),"ok","&lt;&gt;"))</f>
        <v>N/A</v>
      </c>
      <c r="BY26" s="662" t="str">
        <f>IF(OR(ISBLANK(AT10),ISBLANK(AT11)),"N/A",IF((BY24=BY25),"ok","&lt;&gt;"))</f>
        <v>N/A</v>
      </c>
      <c r="BZ26" s="662" t="str">
        <f>IF(OR(ISBLANK(AV10),ISBLANK(AV11)),"N/A",IF((BZ24=BZ25),"ok","&lt;&gt;"))</f>
        <v>N/A</v>
      </c>
      <c r="CA26" s="662" t="str">
        <f>IF(OR(ISBLANK(AX10),ISBLANK(AX11)),"N/A",IF((CA24=CA25),"ok","&lt;&gt;"))</f>
        <v>N/A</v>
      </c>
      <c r="CB26" s="489"/>
      <c r="CC26" s="641">
        <v>70</v>
      </c>
      <c r="CD26" s="641" t="s">
        <v>340</v>
      </c>
      <c r="CE26" s="642">
        <v>52643.880000000005</v>
      </c>
      <c r="CF26" s="643">
        <v>35500</v>
      </c>
      <c r="CG26" s="643">
        <v>2000</v>
      </c>
      <c r="CH26" s="643">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57">
        <v>1</v>
      </c>
      <c r="BC27" s="681" t="s">
        <v>484</v>
      </c>
      <c r="BD27" s="657" t="s">
        <v>298</v>
      </c>
      <c r="BE27" s="662">
        <f>F8</f>
        <v>2633.60009765625</v>
      </c>
      <c r="BF27" s="664" t="s">
        <v>82</v>
      </c>
      <c r="BG27" s="662" t="s">
        <v>82</v>
      </c>
      <c r="BH27" s="662" t="s">
        <v>82</v>
      </c>
      <c r="BI27" s="662" t="s">
        <v>82</v>
      </c>
      <c r="BJ27" s="662" t="s">
        <v>82</v>
      </c>
      <c r="BK27" s="662" t="s">
        <v>82</v>
      </c>
      <c r="BL27" s="662" t="s">
        <v>82</v>
      </c>
      <c r="BM27" s="662" t="s">
        <v>82</v>
      </c>
      <c r="BN27" s="662" t="s">
        <v>82</v>
      </c>
      <c r="BO27" s="662" t="s">
        <v>82</v>
      </c>
      <c r="BP27" s="662" t="s">
        <v>82</v>
      </c>
      <c r="BQ27" s="662" t="s">
        <v>82</v>
      </c>
      <c r="BR27" s="662" t="s">
        <v>82</v>
      </c>
      <c r="BS27" s="662" t="s">
        <v>82</v>
      </c>
      <c r="BT27" s="662" t="s">
        <v>82</v>
      </c>
      <c r="BU27" s="662" t="s">
        <v>82</v>
      </c>
      <c r="BV27" s="662" t="s">
        <v>82</v>
      </c>
      <c r="BW27" s="662" t="s">
        <v>82</v>
      </c>
      <c r="BX27" s="662" t="s">
        <v>82</v>
      </c>
      <c r="BY27" s="662" t="s">
        <v>82</v>
      </c>
      <c r="BZ27" s="662" t="s">
        <v>82</v>
      </c>
      <c r="CA27" s="662" t="s">
        <v>82</v>
      </c>
      <c r="CB27" s="489"/>
      <c r="CC27" s="641">
        <v>72</v>
      </c>
      <c r="CD27" s="641" t="s">
        <v>341</v>
      </c>
      <c r="CE27" s="642">
        <v>241999.68000000002</v>
      </c>
      <c r="CF27" s="643">
        <v>2400</v>
      </c>
      <c r="CG27" s="643">
        <v>9040</v>
      </c>
      <c r="CH27" s="643">
        <v>12240</v>
      </c>
    </row>
    <row r="28" spans="1:86" ht="14.25" customHeight="1">
      <c r="A28" s="247"/>
      <c r="B28" s="247"/>
      <c r="C28" s="245"/>
      <c r="D28" s="252"/>
      <c r="F28" s="257"/>
      <c r="G28" s="253"/>
      <c r="H28" s="830" t="str">
        <f>LEFT(D10,LEN(D10)-7)&amp;" (W1, 3)"</f>
        <v>Internal flow (W1, 3)</v>
      </c>
      <c r="I28" s="835"/>
      <c r="J28" s="835"/>
      <c r="K28" s="835"/>
      <c r="L28" s="835"/>
      <c r="M28" s="835"/>
      <c r="N28" s="835"/>
      <c r="O28" s="836"/>
      <c r="P28" s="254"/>
      <c r="Q28" s="254"/>
      <c r="R28" s="254"/>
      <c r="S28" s="254"/>
      <c r="T28" s="254"/>
      <c r="U28" s="254"/>
      <c r="V28" s="254"/>
      <c r="W28" s="254"/>
      <c r="X28" s="254"/>
      <c r="Y28" s="254"/>
      <c r="Z28" s="254"/>
      <c r="AA28" s="254"/>
      <c r="AB28" s="253"/>
      <c r="AC28" s="256"/>
      <c r="AD28" s="800"/>
      <c r="AE28" s="829"/>
      <c r="AF28" s="829"/>
      <c r="AG28" s="829"/>
      <c r="AH28" s="829"/>
      <c r="AI28" s="829"/>
      <c r="AJ28" s="829"/>
      <c r="AK28" s="829"/>
      <c r="AL28" s="829"/>
      <c r="AM28" s="256"/>
      <c r="AN28" s="256"/>
      <c r="AO28" s="256"/>
      <c r="AP28" s="256"/>
      <c r="AQ28" s="256"/>
      <c r="AR28" s="256"/>
      <c r="AS28" s="256"/>
      <c r="AT28" s="189"/>
      <c r="AU28" s="191"/>
      <c r="AV28" s="191"/>
      <c r="AW28" s="191"/>
      <c r="AX28" s="189"/>
      <c r="AY28" s="191"/>
      <c r="AZ28" s="252"/>
      <c r="BB28" s="677">
        <v>12</v>
      </c>
      <c r="BC28" s="678" t="s">
        <v>51</v>
      </c>
      <c r="BD28" s="662" t="s">
        <v>298</v>
      </c>
      <c r="BE28" s="662">
        <f>VLOOKUP(B3,CC7:CH183,3,FALSE)</f>
        <v>0</v>
      </c>
      <c r="BF28" s="662" t="s">
        <v>82</v>
      </c>
      <c r="BG28" s="662" t="s">
        <v>82</v>
      </c>
      <c r="BH28" s="662" t="s">
        <v>82</v>
      </c>
      <c r="BI28" s="662" t="s">
        <v>82</v>
      </c>
      <c r="BJ28" s="662" t="s">
        <v>82</v>
      </c>
      <c r="BK28" s="662" t="s">
        <v>82</v>
      </c>
      <c r="BL28" s="662" t="s">
        <v>82</v>
      </c>
      <c r="BM28" s="662" t="s">
        <v>82</v>
      </c>
      <c r="BN28" s="662" t="s">
        <v>82</v>
      </c>
      <c r="BO28" s="662" t="s">
        <v>82</v>
      </c>
      <c r="BP28" s="662" t="s">
        <v>82</v>
      </c>
      <c r="BQ28" s="662" t="s">
        <v>82</v>
      </c>
      <c r="BR28" s="662" t="s">
        <v>82</v>
      </c>
      <c r="BS28" s="662" t="s">
        <v>82</v>
      </c>
      <c r="BT28" s="662" t="s">
        <v>82</v>
      </c>
      <c r="BU28" s="662" t="s">
        <v>82</v>
      </c>
      <c r="BV28" s="662" t="s">
        <v>82</v>
      </c>
      <c r="BW28" s="662" t="s">
        <v>82</v>
      </c>
      <c r="BX28" s="662" t="s">
        <v>82</v>
      </c>
      <c r="BY28" s="662" t="s">
        <v>82</v>
      </c>
      <c r="BZ28" s="662" t="s">
        <v>82</v>
      </c>
      <c r="CA28" s="662" t="s">
        <v>82</v>
      </c>
      <c r="CB28" s="489"/>
      <c r="CC28" s="641">
        <v>76</v>
      </c>
      <c r="CD28" s="641" t="s">
        <v>342</v>
      </c>
      <c r="CE28" s="642">
        <v>14996270.969999999</v>
      </c>
      <c r="CF28" s="643">
        <v>5661000</v>
      </c>
      <c r="CG28" s="643">
        <v>2986000</v>
      </c>
      <c r="CH28" s="643">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0" t="str">
        <f>D13&amp;" (W1, 6)"</f>
        <v>Outflow of surface and groundwaters to neighbouring countries (W1, 6)</v>
      </c>
      <c r="W29" s="831"/>
      <c r="X29" s="831"/>
      <c r="Y29" s="831"/>
      <c r="Z29" s="831"/>
      <c r="AA29" s="832"/>
      <c r="AB29" s="256"/>
      <c r="AC29" s="256"/>
      <c r="AD29" s="256"/>
      <c r="AE29" s="256"/>
      <c r="AF29" s="256"/>
      <c r="AG29" s="256"/>
      <c r="AH29" s="256"/>
      <c r="AI29" s="256"/>
      <c r="AJ29" s="256"/>
      <c r="AK29" s="256"/>
      <c r="AL29" s="256"/>
      <c r="AM29" s="256"/>
      <c r="AN29" s="256"/>
      <c r="AO29" s="256"/>
      <c r="AP29" s="256"/>
      <c r="AQ29" s="256"/>
      <c r="AR29" s="256"/>
      <c r="AS29" s="256"/>
      <c r="AT29" s="800"/>
      <c r="AU29" s="800"/>
      <c r="AV29" s="800"/>
      <c r="AW29" s="800"/>
      <c r="AX29" s="800"/>
      <c r="AY29" s="800"/>
      <c r="AZ29" s="252"/>
      <c r="BB29" s="680" t="s">
        <v>176</v>
      </c>
      <c r="BC29" s="682" t="s">
        <v>219</v>
      </c>
      <c r="BD29" s="662" t="s">
        <v>298</v>
      </c>
      <c r="BE29" s="662">
        <f>ABS(BE27-BE28)</f>
        <v>2633.60009765625</v>
      </c>
      <c r="BF29" s="664" t="s">
        <v>82</v>
      </c>
      <c r="BG29" s="662" t="s">
        <v>82</v>
      </c>
      <c r="BH29" s="662" t="s">
        <v>82</v>
      </c>
      <c r="BI29" s="662" t="s">
        <v>82</v>
      </c>
      <c r="BJ29" s="662" t="s">
        <v>82</v>
      </c>
      <c r="BK29" s="662" t="s">
        <v>82</v>
      </c>
      <c r="BL29" s="662" t="s">
        <v>82</v>
      </c>
      <c r="BM29" s="662" t="s">
        <v>82</v>
      </c>
      <c r="BN29" s="662" t="s">
        <v>82</v>
      </c>
      <c r="BO29" s="662" t="s">
        <v>82</v>
      </c>
      <c r="BP29" s="662" t="s">
        <v>82</v>
      </c>
      <c r="BQ29" s="662" t="s">
        <v>82</v>
      </c>
      <c r="BR29" s="662" t="s">
        <v>82</v>
      </c>
      <c r="BS29" s="662" t="s">
        <v>82</v>
      </c>
      <c r="BT29" s="662" t="s">
        <v>82</v>
      </c>
      <c r="BU29" s="662" t="s">
        <v>82</v>
      </c>
      <c r="BV29" s="662" t="s">
        <v>82</v>
      </c>
      <c r="BW29" s="662" t="s">
        <v>82</v>
      </c>
      <c r="BX29" s="662" t="s">
        <v>82</v>
      </c>
      <c r="BY29" s="662" t="s">
        <v>82</v>
      </c>
      <c r="BZ29" s="662" t="s">
        <v>82</v>
      </c>
      <c r="CA29" s="662" t="s">
        <v>82</v>
      </c>
      <c r="CB29" s="489"/>
      <c r="CC29" s="641">
        <v>96</v>
      </c>
      <c r="CD29" s="641" t="s">
        <v>343</v>
      </c>
      <c r="CE29" s="642">
        <v>15705.94</v>
      </c>
      <c r="CF29" s="643">
        <v>8500</v>
      </c>
      <c r="CG29" s="643">
        <v>0</v>
      </c>
      <c r="CH29" s="643">
        <v>8500</v>
      </c>
    </row>
    <row r="30" spans="1:86" ht="44.25" customHeight="1">
      <c r="A30" s="247"/>
      <c r="B30" s="247"/>
      <c r="C30" s="245"/>
      <c r="D30" s="252"/>
      <c r="E30" s="252"/>
      <c r="F30" s="830" t="str">
        <f>D11&amp;" (W1, 4)"</f>
        <v>Inflow of surface and groundwaters from neighbouring countries (W1, 4)</v>
      </c>
      <c r="G30" s="837"/>
      <c r="H30" s="837"/>
      <c r="I30" s="838"/>
      <c r="J30" s="255"/>
      <c r="K30" s="255"/>
      <c r="L30" s="255"/>
      <c r="M30" s="830" t="str">
        <f>LEFT(D12,LEN(D12)-7)&amp;" (W1, 5)"</f>
        <v>Renewable freshwater resources (W1, 5)</v>
      </c>
      <c r="N30" s="839"/>
      <c r="O30" s="839"/>
      <c r="P30" s="840"/>
      <c r="Q30" s="255"/>
      <c r="R30" s="255"/>
      <c r="S30" s="255"/>
      <c r="T30" s="255"/>
      <c r="U30" s="255"/>
      <c r="V30" s="255"/>
      <c r="W30" s="255"/>
      <c r="X30" s="255"/>
      <c r="Y30" s="255"/>
      <c r="Z30" s="255"/>
      <c r="AA30" s="255"/>
      <c r="AB30" s="800"/>
      <c r="AC30" s="819"/>
      <c r="AD30" s="819"/>
      <c r="AE30" s="819"/>
      <c r="AF30" s="256"/>
      <c r="AG30" s="256"/>
      <c r="AH30" s="256"/>
      <c r="AI30" s="256"/>
      <c r="AJ30" s="256"/>
      <c r="AK30" s="800"/>
      <c r="AL30" s="801"/>
      <c r="AM30" s="801"/>
      <c r="AN30" s="801"/>
      <c r="AO30" s="256"/>
      <c r="AP30" s="256"/>
      <c r="AQ30" s="256"/>
      <c r="AR30" s="256"/>
      <c r="AS30" s="256"/>
      <c r="AT30" s="253"/>
      <c r="AU30" s="253"/>
      <c r="AV30" s="253"/>
      <c r="AW30" s="253"/>
      <c r="AX30" s="253"/>
      <c r="AY30" s="253"/>
      <c r="AZ30" s="256"/>
      <c r="BB30" s="662">
        <v>3</v>
      </c>
      <c r="BC30" s="663" t="s">
        <v>19</v>
      </c>
      <c r="BD30" s="662" t="s">
        <v>298</v>
      </c>
      <c r="BE30" s="662">
        <f>F10</f>
        <v>1467.09997558594</v>
      </c>
      <c r="BF30" s="664" t="s">
        <v>82</v>
      </c>
      <c r="BG30" s="662" t="s">
        <v>82</v>
      </c>
      <c r="BH30" s="662" t="s">
        <v>82</v>
      </c>
      <c r="BI30" s="662" t="s">
        <v>82</v>
      </c>
      <c r="BJ30" s="662" t="s">
        <v>82</v>
      </c>
      <c r="BK30" s="662" t="s">
        <v>82</v>
      </c>
      <c r="BL30" s="662" t="s">
        <v>82</v>
      </c>
      <c r="BM30" s="662" t="s">
        <v>82</v>
      </c>
      <c r="BN30" s="662" t="s">
        <v>82</v>
      </c>
      <c r="BO30" s="662" t="s">
        <v>82</v>
      </c>
      <c r="BP30" s="662" t="s">
        <v>82</v>
      </c>
      <c r="BQ30" s="662" t="s">
        <v>82</v>
      </c>
      <c r="BR30" s="662" t="s">
        <v>82</v>
      </c>
      <c r="BS30" s="662" t="s">
        <v>82</v>
      </c>
      <c r="BT30" s="662" t="s">
        <v>82</v>
      </c>
      <c r="BU30" s="662" t="s">
        <v>82</v>
      </c>
      <c r="BV30" s="662" t="s">
        <v>82</v>
      </c>
      <c r="BW30" s="662" t="s">
        <v>82</v>
      </c>
      <c r="BX30" s="662" t="s">
        <v>82</v>
      </c>
      <c r="BY30" s="662" t="s">
        <v>82</v>
      </c>
      <c r="BZ30" s="662" t="s">
        <v>82</v>
      </c>
      <c r="CA30" s="662" t="s">
        <v>82</v>
      </c>
      <c r="CB30" s="489"/>
      <c r="CC30" s="641">
        <v>100</v>
      </c>
      <c r="CD30" s="641" t="s">
        <v>344</v>
      </c>
      <c r="CE30" s="642">
        <v>67457.6</v>
      </c>
      <c r="CF30" s="643">
        <v>21000</v>
      </c>
      <c r="CG30" s="643">
        <v>300</v>
      </c>
      <c r="CH30" s="643">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0" t="str">
        <f>D16&amp;" (W1, 9)"</f>
        <v>Outflow of surface and groundwaters to the sea (W1, 9)</v>
      </c>
      <c r="W31" s="831"/>
      <c r="X31" s="831"/>
      <c r="Y31" s="831"/>
      <c r="Z31" s="831"/>
      <c r="AA31" s="832"/>
      <c r="AB31" s="800"/>
      <c r="AC31" s="819"/>
      <c r="AD31" s="819"/>
      <c r="AE31" s="819"/>
      <c r="AF31" s="550"/>
      <c r="AG31" s="257"/>
      <c r="AH31" s="253"/>
      <c r="AI31" s="253"/>
      <c r="AJ31" s="253"/>
      <c r="AK31" s="800"/>
      <c r="AL31" s="801"/>
      <c r="AM31" s="801"/>
      <c r="AN31" s="801"/>
      <c r="AO31" s="552"/>
      <c r="AP31" s="552"/>
      <c r="AQ31" s="190"/>
      <c r="AR31" s="190"/>
      <c r="AS31" s="190"/>
      <c r="AT31" s="800"/>
      <c r="AU31" s="800"/>
      <c r="AV31" s="800"/>
      <c r="AW31" s="800"/>
      <c r="AX31" s="800"/>
      <c r="AY31" s="800"/>
      <c r="AZ31" s="260"/>
      <c r="BA31" s="646"/>
      <c r="BB31" s="683">
        <v>13</v>
      </c>
      <c r="BC31" s="678" t="s">
        <v>52</v>
      </c>
      <c r="BD31" s="662" t="s">
        <v>298</v>
      </c>
      <c r="BE31" s="662">
        <f>VLOOKUP(B3,CC7:CH183,4,FALSE)</f>
        <v>0</v>
      </c>
      <c r="BF31" s="664" t="s">
        <v>82</v>
      </c>
      <c r="BG31" s="662" t="s">
        <v>82</v>
      </c>
      <c r="BH31" s="662" t="s">
        <v>82</v>
      </c>
      <c r="BI31" s="662" t="s">
        <v>82</v>
      </c>
      <c r="BJ31" s="662" t="s">
        <v>82</v>
      </c>
      <c r="BK31" s="662" t="s">
        <v>82</v>
      </c>
      <c r="BL31" s="662" t="s">
        <v>82</v>
      </c>
      <c r="BM31" s="662" t="s">
        <v>82</v>
      </c>
      <c r="BN31" s="662" t="s">
        <v>82</v>
      </c>
      <c r="BO31" s="662" t="s">
        <v>82</v>
      </c>
      <c r="BP31" s="662" t="s">
        <v>82</v>
      </c>
      <c r="BQ31" s="662" t="s">
        <v>82</v>
      </c>
      <c r="BR31" s="662" t="s">
        <v>82</v>
      </c>
      <c r="BS31" s="662" t="s">
        <v>82</v>
      </c>
      <c r="BT31" s="662" t="s">
        <v>82</v>
      </c>
      <c r="BU31" s="662" t="s">
        <v>82</v>
      </c>
      <c r="BV31" s="662" t="s">
        <v>82</v>
      </c>
      <c r="BW31" s="662" t="s">
        <v>82</v>
      </c>
      <c r="BX31" s="662" t="s">
        <v>82</v>
      </c>
      <c r="BY31" s="662" t="s">
        <v>82</v>
      </c>
      <c r="BZ31" s="662" t="s">
        <v>82</v>
      </c>
      <c r="CA31" s="662" t="s">
        <v>82</v>
      </c>
      <c r="CB31" s="489"/>
      <c r="CC31" s="641">
        <v>854</v>
      </c>
      <c r="CD31" s="641" t="s">
        <v>345</v>
      </c>
      <c r="CE31" s="642">
        <v>205116.56</v>
      </c>
      <c r="CF31" s="643">
        <v>12500</v>
      </c>
      <c r="CG31" s="643">
        <v>1000</v>
      </c>
      <c r="CH31" s="643">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0"/>
      <c r="BB32" s="680" t="s">
        <v>176</v>
      </c>
      <c r="BC32" s="678" t="s">
        <v>220</v>
      </c>
      <c r="BD32" s="662" t="s">
        <v>298</v>
      </c>
      <c r="BE32" s="662">
        <f>ABS(BE30-BE31)</f>
        <v>1467.09997558594</v>
      </c>
      <c r="BF32" s="662" t="s">
        <v>82</v>
      </c>
      <c r="BG32" s="662" t="s">
        <v>82</v>
      </c>
      <c r="BH32" s="662" t="s">
        <v>82</v>
      </c>
      <c r="BI32" s="662" t="s">
        <v>82</v>
      </c>
      <c r="BJ32" s="662" t="s">
        <v>82</v>
      </c>
      <c r="BK32" s="662" t="s">
        <v>82</v>
      </c>
      <c r="BL32" s="662" t="s">
        <v>82</v>
      </c>
      <c r="BM32" s="662" t="s">
        <v>82</v>
      </c>
      <c r="BN32" s="662" t="s">
        <v>82</v>
      </c>
      <c r="BO32" s="662" t="s">
        <v>82</v>
      </c>
      <c r="BP32" s="662" t="s">
        <v>82</v>
      </c>
      <c r="BQ32" s="662" t="s">
        <v>82</v>
      </c>
      <c r="BR32" s="662" t="s">
        <v>82</v>
      </c>
      <c r="BS32" s="662" t="s">
        <v>82</v>
      </c>
      <c r="BT32" s="662" t="s">
        <v>82</v>
      </c>
      <c r="BU32" s="662" t="s">
        <v>82</v>
      </c>
      <c r="BV32" s="662" t="s">
        <v>82</v>
      </c>
      <c r="BW32" s="662" t="s">
        <v>82</v>
      </c>
      <c r="BX32" s="662" t="s">
        <v>82</v>
      </c>
      <c r="BY32" s="662" t="s">
        <v>82</v>
      </c>
      <c r="BZ32" s="662" t="s">
        <v>82</v>
      </c>
      <c r="CA32" s="662" t="s">
        <v>82</v>
      </c>
      <c r="CB32" s="489"/>
      <c r="CC32" s="641">
        <v>108</v>
      </c>
      <c r="CD32" s="641" t="s">
        <v>346</v>
      </c>
      <c r="CE32" s="642">
        <v>35455.42</v>
      </c>
      <c r="CF32" s="643">
        <v>10060</v>
      </c>
      <c r="CG32" s="643">
        <v>126</v>
      </c>
      <c r="CH32" s="643">
        <v>12536</v>
      </c>
    </row>
    <row r="33" spans="1:86" s="196" customFormat="1" ht="22.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6"/>
      <c r="BB33" s="662">
        <v>4</v>
      </c>
      <c r="BC33" s="663" t="s">
        <v>23</v>
      </c>
      <c r="BD33" s="662" t="s">
        <v>298</v>
      </c>
      <c r="BE33" s="662">
        <f>F11</f>
        <v>0</v>
      </c>
      <c r="BF33" s="662" t="s">
        <v>82</v>
      </c>
      <c r="BG33" s="662" t="s">
        <v>82</v>
      </c>
      <c r="BH33" s="662" t="s">
        <v>82</v>
      </c>
      <c r="BI33" s="662" t="s">
        <v>82</v>
      </c>
      <c r="BJ33" s="662" t="s">
        <v>82</v>
      </c>
      <c r="BK33" s="662" t="s">
        <v>82</v>
      </c>
      <c r="BL33" s="662" t="s">
        <v>82</v>
      </c>
      <c r="BM33" s="662" t="s">
        <v>82</v>
      </c>
      <c r="BN33" s="662" t="s">
        <v>82</v>
      </c>
      <c r="BO33" s="662" t="s">
        <v>82</v>
      </c>
      <c r="BP33" s="662" t="s">
        <v>82</v>
      </c>
      <c r="BQ33" s="662" t="s">
        <v>82</v>
      </c>
      <c r="BR33" s="662" t="s">
        <v>82</v>
      </c>
      <c r="BS33" s="662" t="s">
        <v>82</v>
      </c>
      <c r="BT33" s="662" t="s">
        <v>82</v>
      </c>
      <c r="BU33" s="662" t="s">
        <v>82</v>
      </c>
      <c r="BV33" s="662" t="s">
        <v>82</v>
      </c>
      <c r="BW33" s="662" t="s">
        <v>82</v>
      </c>
      <c r="BX33" s="662" t="s">
        <v>82</v>
      </c>
      <c r="BY33" s="662" t="s">
        <v>82</v>
      </c>
      <c r="BZ33" s="662" t="s">
        <v>82</v>
      </c>
      <c r="CA33" s="662" t="s">
        <v>82</v>
      </c>
      <c r="CB33" s="489"/>
      <c r="CC33" s="641">
        <v>132</v>
      </c>
      <c r="CD33" s="641" t="s">
        <v>503</v>
      </c>
      <c r="CE33" s="642">
        <v>918.84</v>
      </c>
      <c r="CF33" s="643">
        <v>300</v>
      </c>
      <c r="CG33" s="643">
        <v>0</v>
      </c>
      <c r="CH33" s="643">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77">
        <v>14</v>
      </c>
      <c r="BC34" s="678" t="s">
        <v>54</v>
      </c>
      <c r="BD34" s="662" t="s">
        <v>298</v>
      </c>
      <c r="BE34" s="662">
        <f>VLOOKUP(B3,CC7:CH183,5,FALSE)</f>
        <v>0</v>
      </c>
      <c r="BF34" s="662" t="s">
        <v>82</v>
      </c>
      <c r="BG34" s="662" t="s">
        <v>82</v>
      </c>
      <c r="BH34" s="662" t="s">
        <v>82</v>
      </c>
      <c r="BI34" s="662" t="s">
        <v>82</v>
      </c>
      <c r="BJ34" s="662" t="s">
        <v>82</v>
      </c>
      <c r="BK34" s="662" t="s">
        <v>82</v>
      </c>
      <c r="BL34" s="662" t="s">
        <v>82</v>
      </c>
      <c r="BM34" s="662" t="s">
        <v>82</v>
      </c>
      <c r="BN34" s="662" t="s">
        <v>82</v>
      </c>
      <c r="BO34" s="662" t="s">
        <v>82</v>
      </c>
      <c r="BP34" s="662" t="s">
        <v>82</v>
      </c>
      <c r="BQ34" s="662" t="s">
        <v>82</v>
      </c>
      <c r="BR34" s="662" t="s">
        <v>82</v>
      </c>
      <c r="BS34" s="662" t="s">
        <v>82</v>
      </c>
      <c r="BT34" s="662" t="s">
        <v>82</v>
      </c>
      <c r="BU34" s="662" t="s">
        <v>82</v>
      </c>
      <c r="BV34" s="662" t="s">
        <v>82</v>
      </c>
      <c r="BW34" s="662" t="s">
        <v>82</v>
      </c>
      <c r="BX34" s="662" t="s">
        <v>82</v>
      </c>
      <c r="BY34" s="662" t="s">
        <v>82</v>
      </c>
      <c r="BZ34" s="662" t="s">
        <v>82</v>
      </c>
      <c r="CA34" s="662" t="s">
        <v>82</v>
      </c>
      <c r="CB34" s="489"/>
      <c r="CC34" s="641">
        <v>116</v>
      </c>
      <c r="CD34" s="641" t="s">
        <v>347</v>
      </c>
      <c r="CE34" s="642">
        <v>344700.16</v>
      </c>
      <c r="CF34" s="643">
        <v>120600</v>
      </c>
      <c r="CG34" s="643">
        <v>355500</v>
      </c>
      <c r="CH34" s="643">
        <v>476100</v>
      </c>
    </row>
    <row r="35" spans="3:86" ht="18" customHeight="1">
      <c r="C35" s="274" t="s">
        <v>292</v>
      </c>
      <c r="D35" s="815" t="s">
        <v>295</v>
      </c>
      <c r="E35" s="816"/>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16"/>
      <c r="AY35" s="816"/>
      <c r="AZ35" s="817"/>
      <c r="BB35" s="680" t="s">
        <v>176</v>
      </c>
      <c r="BC35" s="678" t="s">
        <v>221</v>
      </c>
      <c r="BD35" s="662" t="s">
        <v>298</v>
      </c>
      <c r="BE35" s="662">
        <f>ABS(BE33-BE34)</f>
        <v>0</v>
      </c>
      <c r="BF35" s="662" t="s">
        <v>82</v>
      </c>
      <c r="BG35" s="662" t="s">
        <v>82</v>
      </c>
      <c r="BH35" s="662" t="s">
        <v>82</v>
      </c>
      <c r="BI35" s="662" t="s">
        <v>82</v>
      </c>
      <c r="BJ35" s="662" t="s">
        <v>82</v>
      </c>
      <c r="BK35" s="662" t="s">
        <v>82</v>
      </c>
      <c r="BL35" s="662" t="s">
        <v>82</v>
      </c>
      <c r="BM35" s="662" t="s">
        <v>82</v>
      </c>
      <c r="BN35" s="662" t="s">
        <v>82</v>
      </c>
      <c r="BO35" s="662" t="s">
        <v>82</v>
      </c>
      <c r="BP35" s="662" t="s">
        <v>82</v>
      </c>
      <c r="BQ35" s="662" t="s">
        <v>82</v>
      </c>
      <c r="BR35" s="662" t="s">
        <v>82</v>
      </c>
      <c r="BS35" s="662" t="s">
        <v>82</v>
      </c>
      <c r="BT35" s="662" t="s">
        <v>82</v>
      </c>
      <c r="BU35" s="662" t="s">
        <v>82</v>
      </c>
      <c r="BV35" s="662" t="s">
        <v>82</v>
      </c>
      <c r="BW35" s="662" t="s">
        <v>82</v>
      </c>
      <c r="BX35" s="662" t="s">
        <v>82</v>
      </c>
      <c r="BY35" s="662" t="s">
        <v>82</v>
      </c>
      <c r="BZ35" s="662" t="s">
        <v>82</v>
      </c>
      <c r="CA35" s="662" t="s">
        <v>82</v>
      </c>
      <c r="CB35" s="489"/>
      <c r="CC35" s="641">
        <v>120</v>
      </c>
      <c r="CD35" s="641" t="s">
        <v>348</v>
      </c>
      <c r="CE35" s="642">
        <v>762605.76</v>
      </c>
      <c r="CF35" s="643">
        <v>273000</v>
      </c>
      <c r="CG35" s="643">
        <v>4000</v>
      </c>
      <c r="CH35" s="643">
        <v>283150</v>
      </c>
    </row>
    <row r="36" spans="1:86" ht="18" customHeight="1">
      <c r="A36" s="162">
        <v>0</v>
      </c>
      <c r="B36" s="163">
        <v>5861</v>
      </c>
      <c r="C36" s="484" t="s">
        <v>646</v>
      </c>
      <c r="D36" s="825" t="s">
        <v>652</v>
      </c>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6"/>
      <c r="AY36" s="826"/>
      <c r="AZ36" s="827"/>
      <c r="BB36" s="657">
        <v>5</v>
      </c>
      <c r="BC36" s="667" t="s">
        <v>18</v>
      </c>
      <c r="BD36" s="662" t="s">
        <v>298</v>
      </c>
      <c r="BE36" s="662">
        <f>F12</f>
        <v>1467.09997558594</v>
      </c>
      <c r="BF36" s="662" t="s">
        <v>82</v>
      </c>
      <c r="BG36" s="662" t="s">
        <v>82</v>
      </c>
      <c r="BH36" s="662" t="s">
        <v>82</v>
      </c>
      <c r="BI36" s="662" t="s">
        <v>82</v>
      </c>
      <c r="BJ36" s="662" t="s">
        <v>82</v>
      </c>
      <c r="BK36" s="662" t="s">
        <v>82</v>
      </c>
      <c r="BL36" s="662" t="s">
        <v>82</v>
      </c>
      <c r="BM36" s="662" t="s">
        <v>82</v>
      </c>
      <c r="BN36" s="662" t="s">
        <v>82</v>
      </c>
      <c r="BO36" s="662" t="s">
        <v>82</v>
      </c>
      <c r="BP36" s="662" t="s">
        <v>82</v>
      </c>
      <c r="BQ36" s="662" t="s">
        <v>82</v>
      </c>
      <c r="BR36" s="662" t="s">
        <v>82</v>
      </c>
      <c r="BS36" s="662" t="s">
        <v>82</v>
      </c>
      <c r="BT36" s="662" t="s">
        <v>82</v>
      </c>
      <c r="BU36" s="662" t="s">
        <v>82</v>
      </c>
      <c r="BV36" s="662" t="s">
        <v>82</v>
      </c>
      <c r="BW36" s="662" t="s">
        <v>82</v>
      </c>
      <c r="BX36" s="662" t="s">
        <v>82</v>
      </c>
      <c r="BY36" s="662" t="s">
        <v>82</v>
      </c>
      <c r="BZ36" s="662" t="s">
        <v>82</v>
      </c>
      <c r="CA36" s="662" t="s">
        <v>82</v>
      </c>
      <c r="CB36" s="489"/>
      <c r="CC36" s="641">
        <v>140</v>
      </c>
      <c r="CD36" s="641" t="s">
        <v>349</v>
      </c>
      <c r="CE36" s="642">
        <v>836662.14</v>
      </c>
      <c r="CF36" s="643">
        <v>141000</v>
      </c>
      <c r="CG36" s="643">
        <v>0</v>
      </c>
      <c r="CH36" s="643">
        <v>141000</v>
      </c>
    </row>
    <row r="37" spans="1:86" ht="28.5" customHeight="1">
      <c r="A37" s="162">
        <v>0</v>
      </c>
      <c r="B37" s="163">
        <v>5863</v>
      </c>
      <c r="C37" s="484" t="s">
        <v>648</v>
      </c>
      <c r="D37" s="802" t="s">
        <v>653</v>
      </c>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3"/>
      <c r="AY37" s="803"/>
      <c r="AZ37" s="804"/>
      <c r="BB37" s="677">
        <v>15</v>
      </c>
      <c r="BC37" s="678" t="s">
        <v>53</v>
      </c>
      <c r="BD37" s="662" t="s">
        <v>298</v>
      </c>
      <c r="BE37" s="662">
        <f>VLOOKUP(B3,CC7:CH183,6,FALSE)</f>
        <v>0</v>
      </c>
      <c r="BF37" s="662" t="s">
        <v>82</v>
      </c>
      <c r="BG37" s="662" t="s">
        <v>82</v>
      </c>
      <c r="BH37" s="662" t="s">
        <v>82</v>
      </c>
      <c r="BI37" s="662" t="s">
        <v>82</v>
      </c>
      <c r="BJ37" s="662" t="s">
        <v>82</v>
      </c>
      <c r="BK37" s="662" t="s">
        <v>82</v>
      </c>
      <c r="BL37" s="662" t="s">
        <v>82</v>
      </c>
      <c r="BM37" s="662" t="s">
        <v>82</v>
      </c>
      <c r="BN37" s="662" t="s">
        <v>82</v>
      </c>
      <c r="BO37" s="662" t="s">
        <v>82</v>
      </c>
      <c r="BP37" s="662" t="s">
        <v>82</v>
      </c>
      <c r="BQ37" s="662" t="s">
        <v>82</v>
      </c>
      <c r="BR37" s="662" t="s">
        <v>82</v>
      </c>
      <c r="BS37" s="662" t="s">
        <v>82</v>
      </c>
      <c r="BT37" s="662" t="s">
        <v>82</v>
      </c>
      <c r="BU37" s="662" t="s">
        <v>82</v>
      </c>
      <c r="BV37" s="662" t="s">
        <v>82</v>
      </c>
      <c r="BW37" s="662" t="s">
        <v>82</v>
      </c>
      <c r="BX37" s="662" t="s">
        <v>82</v>
      </c>
      <c r="BY37" s="662" t="s">
        <v>82</v>
      </c>
      <c r="BZ37" s="662" t="s">
        <v>82</v>
      </c>
      <c r="CA37" s="662" t="s">
        <v>82</v>
      </c>
      <c r="CB37" s="489"/>
      <c r="CC37" s="641">
        <v>148</v>
      </c>
      <c r="CD37" s="641" t="s">
        <v>350</v>
      </c>
      <c r="CE37" s="642">
        <v>413448</v>
      </c>
      <c r="CF37" s="643">
        <v>15000</v>
      </c>
      <c r="CG37" s="643">
        <v>30700</v>
      </c>
      <c r="CH37" s="643">
        <v>45700</v>
      </c>
    </row>
    <row r="38" spans="3:86" ht="18" customHeight="1">
      <c r="C38" s="484"/>
      <c r="D38" s="802"/>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3"/>
      <c r="AY38" s="803"/>
      <c r="AZ38" s="804"/>
      <c r="BB38" s="684" t="s">
        <v>176</v>
      </c>
      <c r="BC38" s="685" t="s">
        <v>222</v>
      </c>
      <c r="BD38" s="673" t="s">
        <v>298</v>
      </c>
      <c r="BE38" s="673">
        <f>ABS(BE36-BE37)</f>
        <v>1467.09997558594</v>
      </c>
      <c r="BF38" s="673" t="s">
        <v>82</v>
      </c>
      <c r="BG38" s="673" t="s">
        <v>82</v>
      </c>
      <c r="BH38" s="673" t="s">
        <v>82</v>
      </c>
      <c r="BI38" s="673" t="s">
        <v>82</v>
      </c>
      <c r="BJ38" s="673" t="s">
        <v>82</v>
      </c>
      <c r="BK38" s="673" t="s">
        <v>82</v>
      </c>
      <c r="BL38" s="673" t="s">
        <v>82</v>
      </c>
      <c r="BM38" s="673" t="s">
        <v>82</v>
      </c>
      <c r="BN38" s="673" t="s">
        <v>82</v>
      </c>
      <c r="BO38" s="673" t="s">
        <v>82</v>
      </c>
      <c r="BP38" s="673" t="s">
        <v>82</v>
      </c>
      <c r="BQ38" s="673" t="s">
        <v>82</v>
      </c>
      <c r="BR38" s="673" t="s">
        <v>82</v>
      </c>
      <c r="BS38" s="673" t="s">
        <v>82</v>
      </c>
      <c r="BT38" s="673" t="s">
        <v>82</v>
      </c>
      <c r="BU38" s="673" t="s">
        <v>82</v>
      </c>
      <c r="BV38" s="673" t="s">
        <v>82</v>
      </c>
      <c r="BW38" s="673" t="s">
        <v>82</v>
      </c>
      <c r="BX38" s="673" t="s">
        <v>82</v>
      </c>
      <c r="BY38" s="673" t="s">
        <v>82</v>
      </c>
      <c r="BZ38" s="673" t="s">
        <v>82</v>
      </c>
      <c r="CA38" s="673" t="s">
        <v>82</v>
      </c>
      <c r="CB38" s="489"/>
      <c r="CC38" s="641">
        <v>156</v>
      </c>
      <c r="CD38" s="641" t="s">
        <v>351</v>
      </c>
      <c r="CE38" s="642">
        <v>6192008.3205</v>
      </c>
      <c r="CF38" s="643">
        <v>2812900</v>
      </c>
      <c r="CG38" s="643">
        <v>17170</v>
      </c>
      <c r="CH38" s="643">
        <v>2840220</v>
      </c>
    </row>
    <row r="39" spans="3:86" ht="18" customHeight="1">
      <c r="C39" s="484"/>
      <c r="D39" s="802"/>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3"/>
      <c r="AY39" s="803"/>
      <c r="AZ39" s="804"/>
      <c r="BB39" s="686" t="s">
        <v>55</v>
      </c>
      <c r="BC39" s="687" t="s">
        <v>56</v>
      </c>
      <c r="CB39" s="489"/>
      <c r="CC39" s="641">
        <v>344</v>
      </c>
      <c r="CD39" s="641" t="s">
        <v>352</v>
      </c>
      <c r="CE39" s="642">
        <v>0</v>
      </c>
      <c r="CF39" s="643">
        <v>0</v>
      </c>
      <c r="CG39" s="643">
        <v>0</v>
      </c>
      <c r="CH39" s="643">
        <v>0</v>
      </c>
    </row>
    <row r="40" spans="3:86" ht="18" customHeight="1">
      <c r="C40" s="484"/>
      <c r="D40" s="802"/>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03"/>
      <c r="AY40" s="803"/>
      <c r="AZ40" s="804"/>
      <c r="BB40" s="686" t="s">
        <v>57</v>
      </c>
      <c r="BC40" s="687" t="s">
        <v>58</v>
      </c>
      <c r="CC40" s="641">
        <v>446</v>
      </c>
      <c r="CD40" s="641" t="s">
        <v>353</v>
      </c>
      <c r="CE40" s="642">
        <v>0</v>
      </c>
      <c r="CF40" s="643">
        <v>0</v>
      </c>
      <c r="CG40" s="643">
        <v>0</v>
      </c>
      <c r="CH40" s="643">
        <v>0</v>
      </c>
    </row>
    <row r="41" spans="3:86" ht="18" customHeight="1">
      <c r="C41" s="484"/>
      <c r="D41" s="802"/>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3"/>
      <c r="AY41" s="803"/>
      <c r="AZ41" s="804"/>
      <c r="BB41" s="688" t="s">
        <v>60</v>
      </c>
      <c r="BC41" s="687" t="s">
        <v>62</v>
      </c>
      <c r="BD41" s="689"/>
      <c r="CC41" s="641">
        <v>170</v>
      </c>
      <c r="CD41" s="641" t="s">
        <v>354</v>
      </c>
      <c r="CE41" s="642">
        <v>3699270</v>
      </c>
      <c r="CF41" s="643">
        <v>2145000</v>
      </c>
      <c r="CG41" s="643">
        <v>215000</v>
      </c>
      <c r="CH41" s="643">
        <v>2360000</v>
      </c>
    </row>
    <row r="42" spans="3:86" ht="18" customHeight="1">
      <c r="C42" s="484"/>
      <c r="D42" s="802"/>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4"/>
      <c r="BB42" s="688" t="s">
        <v>59</v>
      </c>
      <c r="BC42" s="687" t="s">
        <v>12</v>
      </c>
      <c r="BD42" s="689"/>
      <c r="CC42" s="641">
        <v>174</v>
      </c>
      <c r="CD42" s="641" t="s">
        <v>355</v>
      </c>
      <c r="CE42" s="642">
        <v>1674.9</v>
      </c>
      <c r="CF42" s="643">
        <v>1200</v>
      </c>
      <c r="CG42" s="643">
        <v>0</v>
      </c>
      <c r="CH42" s="643">
        <v>1200</v>
      </c>
    </row>
    <row r="43" spans="3:86" ht="18" customHeight="1">
      <c r="C43" s="484"/>
      <c r="D43" s="802"/>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Y43" s="803"/>
      <c r="AZ43" s="804"/>
      <c r="BB43" s="686" t="s">
        <v>61</v>
      </c>
      <c r="BC43" s="687" t="s">
        <v>63</v>
      </c>
      <c r="BD43" s="689"/>
      <c r="CC43" s="641">
        <v>178</v>
      </c>
      <c r="CD43" s="641" t="s">
        <v>356</v>
      </c>
      <c r="CE43" s="642">
        <v>562932</v>
      </c>
      <c r="CF43" s="643">
        <v>222000</v>
      </c>
      <c r="CG43" s="643">
        <v>52000</v>
      </c>
      <c r="CH43" s="643">
        <v>832000</v>
      </c>
    </row>
    <row r="44" spans="3:86" ht="18" customHeight="1">
      <c r="C44" s="484"/>
      <c r="D44" s="802"/>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3"/>
      <c r="AY44" s="803"/>
      <c r="AZ44" s="804"/>
      <c r="BD44" s="689"/>
      <c r="CC44" s="641">
        <v>188</v>
      </c>
      <c r="CD44" s="641" t="s">
        <v>357</v>
      </c>
      <c r="CE44" s="642">
        <v>149518.6</v>
      </c>
      <c r="CF44" s="643">
        <v>76840</v>
      </c>
      <c r="CG44" s="643">
        <v>0</v>
      </c>
      <c r="CH44" s="643">
        <v>113000</v>
      </c>
    </row>
    <row r="45" spans="3:86" ht="18" customHeight="1">
      <c r="C45" s="484"/>
      <c r="D45" s="802"/>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803"/>
      <c r="AZ45" s="804"/>
      <c r="CC45" s="641">
        <v>384</v>
      </c>
      <c r="CD45" s="641" t="s">
        <v>148</v>
      </c>
      <c r="CE45" s="642">
        <v>434676.08</v>
      </c>
      <c r="CF45" s="643">
        <v>37700</v>
      </c>
      <c r="CG45" s="643">
        <v>4300</v>
      </c>
      <c r="CH45" s="643">
        <v>84140</v>
      </c>
    </row>
    <row r="46" spans="3:86" ht="18" customHeight="1">
      <c r="C46" s="484"/>
      <c r="D46" s="802"/>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03"/>
      <c r="AY46" s="803"/>
      <c r="AZ46" s="804"/>
      <c r="BD46" s="689"/>
      <c r="CC46" s="641">
        <v>191</v>
      </c>
      <c r="CD46" s="641" t="s">
        <v>358</v>
      </c>
      <c r="CE46" s="642">
        <v>62989.122</v>
      </c>
      <c r="CF46" s="643">
        <v>0</v>
      </c>
      <c r="CG46" s="643">
        <v>33470</v>
      </c>
      <c r="CH46" s="643">
        <v>105500</v>
      </c>
    </row>
    <row r="47" spans="3:86" ht="18" customHeight="1">
      <c r="C47" s="484"/>
      <c r="D47" s="802"/>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03"/>
      <c r="AY47" s="803"/>
      <c r="AZ47" s="804"/>
      <c r="BB47" s="689"/>
      <c r="BC47" s="689"/>
      <c r="BD47" s="689"/>
      <c r="CC47" s="641">
        <v>192</v>
      </c>
      <c r="CD47" s="641" t="s">
        <v>359</v>
      </c>
      <c r="CE47" s="642">
        <v>146689.8</v>
      </c>
      <c r="CF47" s="643">
        <v>38120</v>
      </c>
      <c r="CG47" s="643">
        <v>0</v>
      </c>
      <c r="CH47" s="643">
        <v>38120</v>
      </c>
    </row>
    <row r="48" spans="3:86" ht="18" customHeight="1">
      <c r="C48" s="484"/>
      <c r="D48" s="802"/>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03"/>
      <c r="AY48" s="803"/>
      <c r="AZ48" s="804"/>
      <c r="CC48" s="641">
        <v>196</v>
      </c>
      <c r="CD48" s="641" t="s">
        <v>360</v>
      </c>
      <c r="CE48" s="642">
        <v>4606.5</v>
      </c>
      <c r="CF48" s="643">
        <v>780</v>
      </c>
      <c r="CG48" s="643">
        <v>0</v>
      </c>
      <c r="CH48" s="643">
        <v>780</v>
      </c>
    </row>
    <row r="49" spans="3:86" ht="18" customHeight="1">
      <c r="C49" s="484"/>
      <c r="D49" s="802"/>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3"/>
      <c r="AY49" s="803"/>
      <c r="AZ49" s="804"/>
      <c r="CC49" s="641">
        <v>408</v>
      </c>
      <c r="CD49" s="641" t="s">
        <v>149</v>
      </c>
      <c r="CE49" s="642">
        <v>127049.16</v>
      </c>
      <c r="CF49" s="643">
        <v>67000</v>
      </c>
      <c r="CG49" s="643">
        <v>0</v>
      </c>
      <c r="CH49" s="643">
        <v>77150</v>
      </c>
    </row>
    <row r="50" spans="3:86" ht="18" customHeight="1">
      <c r="C50" s="484"/>
      <c r="D50" s="802"/>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3"/>
      <c r="AY50" s="803"/>
      <c r="AZ50" s="804"/>
      <c r="CC50" s="641">
        <v>180</v>
      </c>
      <c r="CD50" s="641" t="s">
        <v>150</v>
      </c>
      <c r="CE50" s="642">
        <v>3618118.98</v>
      </c>
      <c r="CF50" s="643">
        <v>900000</v>
      </c>
      <c r="CG50" s="643">
        <v>383000</v>
      </c>
      <c r="CH50" s="643">
        <v>1283000</v>
      </c>
    </row>
    <row r="51" spans="3:86" ht="18" customHeight="1">
      <c r="C51" s="484"/>
      <c r="D51" s="802"/>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CC51" s="641">
        <v>262</v>
      </c>
      <c r="CD51" s="641" t="s">
        <v>361</v>
      </c>
      <c r="CE51" s="642">
        <v>5104</v>
      </c>
      <c r="CF51" s="643">
        <v>300</v>
      </c>
      <c r="CG51" s="643">
        <v>0</v>
      </c>
      <c r="CH51" s="643">
        <v>300</v>
      </c>
    </row>
    <row r="52" spans="3:86" ht="18" customHeight="1">
      <c r="C52" s="484"/>
      <c r="D52" s="802"/>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3"/>
      <c r="AY52" s="803"/>
      <c r="AZ52" s="804"/>
      <c r="CC52" s="641">
        <v>212</v>
      </c>
      <c r="CD52" s="641" t="s">
        <v>362</v>
      </c>
      <c r="CE52" s="642">
        <v>1562.25</v>
      </c>
      <c r="CF52" s="643">
        <v>200</v>
      </c>
      <c r="CG52" s="643">
        <v>0</v>
      </c>
      <c r="CH52" s="643">
        <v>200</v>
      </c>
    </row>
    <row r="53" spans="3:86" ht="18" customHeight="1">
      <c r="C53" s="484"/>
      <c r="D53" s="802"/>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03"/>
      <c r="AY53" s="803"/>
      <c r="AZ53" s="804"/>
      <c r="CC53" s="641">
        <v>214</v>
      </c>
      <c r="CD53" s="641" t="s">
        <v>363</v>
      </c>
      <c r="CE53" s="642">
        <v>68624.7</v>
      </c>
      <c r="CF53" s="643">
        <v>23500</v>
      </c>
      <c r="CG53" s="643">
        <v>0</v>
      </c>
      <c r="CH53" s="643">
        <v>23500</v>
      </c>
    </row>
    <row r="54" spans="3:86" ht="18" customHeight="1">
      <c r="C54" s="484"/>
      <c r="D54" s="802"/>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03"/>
      <c r="AY54" s="803"/>
      <c r="AZ54" s="804"/>
      <c r="CC54" s="641">
        <v>218</v>
      </c>
      <c r="CD54" s="641" t="s">
        <v>364</v>
      </c>
      <c r="CE54" s="642">
        <v>582985.38</v>
      </c>
      <c r="CF54" s="643">
        <v>442400</v>
      </c>
      <c r="CG54" s="643">
        <v>0</v>
      </c>
      <c r="CH54" s="643">
        <v>442400</v>
      </c>
    </row>
    <row r="55" spans="3:86" ht="18" customHeight="1">
      <c r="C55" s="484"/>
      <c r="D55" s="802"/>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03"/>
      <c r="AY55" s="803"/>
      <c r="AZ55" s="804"/>
      <c r="CC55" s="641">
        <v>818</v>
      </c>
      <c r="CD55" s="641" t="s">
        <v>365</v>
      </c>
      <c r="CE55" s="642">
        <v>18126.245000000003</v>
      </c>
      <c r="CF55" s="643">
        <v>1000</v>
      </c>
      <c r="CG55" s="643">
        <v>84000</v>
      </c>
      <c r="CH55" s="643">
        <v>57500</v>
      </c>
    </row>
    <row r="56" spans="3:86" ht="18" customHeight="1">
      <c r="C56" s="484"/>
      <c r="D56" s="802"/>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3"/>
      <c r="AY56" s="803"/>
      <c r="AZ56" s="804"/>
      <c r="CC56" s="641">
        <v>222</v>
      </c>
      <c r="CD56" s="641" t="s">
        <v>366</v>
      </c>
      <c r="CE56" s="642">
        <v>37535.36</v>
      </c>
      <c r="CF56" s="643">
        <v>15630</v>
      </c>
      <c r="CG56" s="643">
        <v>10640</v>
      </c>
      <c r="CH56" s="643">
        <v>26270</v>
      </c>
    </row>
    <row r="57" spans="3:86" ht="20.25" customHeight="1">
      <c r="C57" s="48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808"/>
      <c r="AZ57" s="809"/>
      <c r="CC57" s="641">
        <v>226</v>
      </c>
      <c r="CD57" s="641" t="s">
        <v>367</v>
      </c>
      <c r="CE57" s="642">
        <v>60475.8</v>
      </c>
      <c r="CF57" s="643">
        <v>26000</v>
      </c>
      <c r="CG57" s="643">
        <v>0</v>
      </c>
      <c r="CH57" s="643">
        <v>26000</v>
      </c>
    </row>
    <row r="58" spans="3:86" ht="16.5" customHeight="1">
      <c r="C58" s="805"/>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281"/>
      <c r="AQ58" s="281"/>
      <c r="AR58" s="281"/>
      <c r="AS58" s="281"/>
      <c r="CC58" s="641">
        <v>232</v>
      </c>
      <c r="CD58" s="641" t="s">
        <v>368</v>
      </c>
      <c r="CE58" s="642">
        <v>46758.073728</v>
      </c>
      <c r="CF58" s="643">
        <v>2800</v>
      </c>
      <c r="CG58" s="643">
        <v>700</v>
      </c>
      <c r="CH58" s="643">
        <v>7315</v>
      </c>
    </row>
    <row r="59" spans="3:86" ht="12.75">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281"/>
      <c r="AQ59" s="281"/>
      <c r="AR59" s="281"/>
      <c r="AS59" s="281"/>
      <c r="CC59" s="641">
        <v>231</v>
      </c>
      <c r="CD59" s="641" t="s">
        <v>369</v>
      </c>
      <c r="CE59" s="642">
        <v>963533.637456</v>
      </c>
      <c r="CF59" s="643">
        <v>122000</v>
      </c>
      <c r="CG59" s="643">
        <v>0</v>
      </c>
      <c r="CH59" s="643">
        <v>122000</v>
      </c>
    </row>
    <row r="60" spans="81:86" ht="12.75">
      <c r="CC60" s="641">
        <v>234</v>
      </c>
      <c r="CD60" s="641" t="s">
        <v>504</v>
      </c>
      <c r="CE60" s="642">
        <v>0</v>
      </c>
      <c r="CF60" s="643">
        <v>0</v>
      </c>
      <c r="CG60" s="643">
        <v>0</v>
      </c>
      <c r="CH60" s="643">
        <v>0</v>
      </c>
    </row>
    <row r="61" spans="81:86" ht="12.75">
      <c r="CC61" s="641">
        <v>242</v>
      </c>
      <c r="CD61" s="641" t="s">
        <v>370</v>
      </c>
      <c r="CE61" s="642">
        <v>47355.840000000004</v>
      </c>
      <c r="CF61" s="643">
        <v>28550</v>
      </c>
      <c r="CG61" s="643">
        <v>0</v>
      </c>
      <c r="CH61" s="643">
        <v>28550</v>
      </c>
    </row>
    <row r="62" spans="81:86" ht="12.75">
      <c r="CC62" s="641">
        <v>254</v>
      </c>
      <c r="CD62" s="641" t="s">
        <v>371</v>
      </c>
      <c r="CE62" s="642">
        <v>0</v>
      </c>
      <c r="CF62" s="643">
        <v>0</v>
      </c>
      <c r="CG62" s="643">
        <v>0</v>
      </c>
      <c r="CH62" s="643">
        <v>0</v>
      </c>
    </row>
    <row r="63" spans="81:86" ht="12.75">
      <c r="CC63" s="641">
        <v>266</v>
      </c>
      <c r="CD63" s="641" t="s">
        <v>372</v>
      </c>
      <c r="CE63" s="642">
        <v>490103.77</v>
      </c>
      <c r="CF63" s="643">
        <v>164000</v>
      </c>
      <c r="CG63" s="643">
        <v>2000</v>
      </c>
      <c r="CH63" s="643">
        <v>166000</v>
      </c>
    </row>
    <row r="64" spans="81:86" ht="12.75">
      <c r="CC64" s="641">
        <v>270</v>
      </c>
      <c r="CD64" s="641" t="s">
        <v>373</v>
      </c>
      <c r="CE64" s="642">
        <v>9446.8</v>
      </c>
      <c r="CF64" s="643">
        <v>3000</v>
      </c>
      <c r="CG64" s="643">
        <v>5000</v>
      </c>
      <c r="CH64" s="643">
        <v>8000</v>
      </c>
    </row>
    <row r="65" spans="81:86" ht="12.75">
      <c r="CC65" s="641">
        <v>268</v>
      </c>
      <c r="CD65" s="641" t="s">
        <v>374</v>
      </c>
      <c r="CE65" s="642">
        <v>71512.20000000001</v>
      </c>
      <c r="CF65" s="643">
        <v>58130</v>
      </c>
      <c r="CG65" s="643">
        <v>8350</v>
      </c>
      <c r="CH65" s="643">
        <v>63330</v>
      </c>
    </row>
    <row r="66" spans="81:86" ht="12.75">
      <c r="CC66" s="641">
        <v>288</v>
      </c>
      <c r="CD66" s="641" t="s">
        <v>375</v>
      </c>
      <c r="CE66" s="642">
        <v>283146.98</v>
      </c>
      <c r="CF66" s="643">
        <v>30300</v>
      </c>
      <c r="CG66" s="643">
        <v>25900</v>
      </c>
      <c r="CH66" s="643">
        <v>56200</v>
      </c>
    </row>
    <row r="67" spans="81:86" ht="12.75">
      <c r="CC67" s="641">
        <v>304</v>
      </c>
      <c r="CD67" s="641" t="s">
        <v>376</v>
      </c>
      <c r="CE67" s="642"/>
      <c r="CF67" s="643"/>
      <c r="CG67" s="643"/>
      <c r="CH67" s="643"/>
    </row>
    <row r="68" spans="81:86" ht="12.75">
      <c r="CC68" s="641">
        <v>308</v>
      </c>
      <c r="CD68" s="641" t="s">
        <v>377</v>
      </c>
      <c r="CE68" s="642">
        <v>799</v>
      </c>
      <c r="CF68" s="643">
        <v>200</v>
      </c>
      <c r="CG68" s="643">
        <v>0</v>
      </c>
      <c r="CH68" s="643">
        <v>200</v>
      </c>
    </row>
    <row r="69" spans="81:86" ht="12.75">
      <c r="CC69" s="641">
        <v>312</v>
      </c>
      <c r="CD69" s="641" t="s">
        <v>378</v>
      </c>
      <c r="CE69" s="642">
        <v>0</v>
      </c>
      <c r="CF69" s="643">
        <v>0</v>
      </c>
      <c r="CG69" s="643">
        <v>0</v>
      </c>
      <c r="CH69" s="643">
        <v>0</v>
      </c>
    </row>
    <row r="70" spans="81:86" ht="12.75">
      <c r="CC70" s="641">
        <v>320</v>
      </c>
      <c r="CD70" s="641" t="s">
        <v>379</v>
      </c>
      <c r="CE70" s="642">
        <v>217344.44</v>
      </c>
      <c r="CF70" s="643">
        <v>109200</v>
      </c>
      <c r="CG70" s="643">
        <v>18710</v>
      </c>
      <c r="CH70" s="643">
        <v>127910</v>
      </c>
    </row>
    <row r="71" spans="81:86" ht="12.75">
      <c r="CC71" s="641">
        <v>324</v>
      </c>
      <c r="CD71" s="641" t="s">
        <v>380</v>
      </c>
      <c r="CE71" s="642">
        <v>405914.86</v>
      </c>
      <c r="CF71" s="643">
        <v>226000</v>
      </c>
      <c r="CG71" s="643">
        <v>0</v>
      </c>
      <c r="CH71" s="643">
        <v>226000</v>
      </c>
    </row>
    <row r="72" spans="81:86" ht="12.75">
      <c r="CC72" s="641">
        <v>624</v>
      </c>
      <c r="CD72" s="641" t="s">
        <v>381</v>
      </c>
      <c r="CE72" s="642">
        <v>56977.01</v>
      </c>
      <c r="CF72" s="643">
        <v>16000</v>
      </c>
      <c r="CG72" s="643">
        <v>15400</v>
      </c>
      <c r="CH72" s="643">
        <v>31400</v>
      </c>
    </row>
    <row r="73" spans="81:86" ht="12.75">
      <c r="CC73" s="641">
        <v>328</v>
      </c>
      <c r="CD73" s="641" t="s">
        <v>386</v>
      </c>
      <c r="CE73" s="642">
        <v>513133.38999999996</v>
      </c>
      <c r="CF73" s="643">
        <v>241000</v>
      </c>
      <c r="CG73" s="643">
        <v>30000</v>
      </c>
      <c r="CH73" s="643">
        <v>271000</v>
      </c>
    </row>
    <row r="74" spans="81:86" ht="12.75">
      <c r="CC74" s="641">
        <v>332</v>
      </c>
      <c r="CD74" s="641" t="s">
        <v>387</v>
      </c>
      <c r="CE74" s="642">
        <v>39960</v>
      </c>
      <c r="CF74" s="643">
        <v>13007</v>
      </c>
      <c r="CG74" s="643">
        <v>1014.9999999999999</v>
      </c>
      <c r="CH74" s="643">
        <v>14022</v>
      </c>
    </row>
    <row r="75" spans="81:86" ht="12.75">
      <c r="CC75" s="641">
        <v>336</v>
      </c>
      <c r="CD75" s="641" t="s">
        <v>505</v>
      </c>
      <c r="CE75" s="642">
        <v>0</v>
      </c>
      <c r="CF75" s="643">
        <v>0</v>
      </c>
      <c r="CG75" s="643">
        <v>0</v>
      </c>
      <c r="CH75" s="643">
        <v>0</v>
      </c>
    </row>
    <row r="76" spans="81:86" ht="12.75">
      <c r="CC76" s="641">
        <v>340</v>
      </c>
      <c r="CD76" s="641" t="s">
        <v>388</v>
      </c>
      <c r="CE76" s="642">
        <v>222280.24</v>
      </c>
      <c r="CF76" s="643">
        <v>90660</v>
      </c>
      <c r="CG76" s="643">
        <v>1504</v>
      </c>
      <c r="CH76" s="643">
        <v>92164</v>
      </c>
    </row>
    <row r="77" spans="81:86" ht="12.75">
      <c r="CC77" s="641">
        <v>356</v>
      </c>
      <c r="CD77" s="641" t="s">
        <v>389</v>
      </c>
      <c r="CE77" s="642">
        <v>3560102.58</v>
      </c>
      <c r="CF77" s="643">
        <v>1446000</v>
      </c>
      <c r="CG77" s="643">
        <v>635200</v>
      </c>
      <c r="CH77" s="643">
        <v>1910900</v>
      </c>
    </row>
    <row r="78" spans="81:86" ht="12.75">
      <c r="CC78" s="641">
        <v>360</v>
      </c>
      <c r="CD78" s="641" t="s">
        <v>390</v>
      </c>
      <c r="CE78" s="642">
        <v>5179361.6644</v>
      </c>
      <c r="CF78" s="643">
        <v>2018700</v>
      </c>
      <c r="CG78" s="643">
        <v>0</v>
      </c>
      <c r="CH78" s="643">
        <v>2018700</v>
      </c>
    </row>
    <row r="79" spans="81:86" ht="12.75">
      <c r="CC79" s="641">
        <v>364</v>
      </c>
      <c r="CD79" s="641" t="s">
        <v>391</v>
      </c>
      <c r="CE79" s="642">
        <v>397894.2</v>
      </c>
      <c r="CF79" s="643">
        <v>128500</v>
      </c>
      <c r="CG79" s="643">
        <v>7770</v>
      </c>
      <c r="CH79" s="643">
        <v>137045</v>
      </c>
    </row>
    <row r="80" spans="81:86" ht="12.75">
      <c r="CC80" s="641">
        <v>368</v>
      </c>
      <c r="CD80" s="641" t="s">
        <v>392</v>
      </c>
      <c r="CE80" s="642">
        <v>93971.232</v>
      </c>
      <c r="CF80" s="643">
        <v>35200</v>
      </c>
      <c r="CG80" s="643">
        <v>61330</v>
      </c>
      <c r="CH80" s="643">
        <v>89860</v>
      </c>
    </row>
    <row r="81" spans="81:86" ht="12.75">
      <c r="CC81" s="641">
        <v>376</v>
      </c>
      <c r="CD81" s="641" t="s">
        <v>393</v>
      </c>
      <c r="CE81" s="642">
        <v>78573.04000000001</v>
      </c>
      <c r="CF81" s="643">
        <v>49000</v>
      </c>
      <c r="CG81" s="643">
        <v>3000</v>
      </c>
      <c r="CH81" s="643">
        <v>52000</v>
      </c>
    </row>
    <row r="82" spans="81:86" ht="12.75">
      <c r="CC82" s="641">
        <v>388</v>
      </c>
      <c r="CD82" s="641" t="s">
        <v>394</v>
      </c>
      <c r="CE82" s="642">
        <v>22540.489999999998</v>
      </c>
      <c r="CF82" s="643">
        <v>10823</v>
      </c>
      <c r="CG82" s="643">
        <v>0</v>
      </c>
      <c r="CH82" s="643">
        <v>10823</v>
      </c>
    </row>
    <row r="83" spans="81:86" ht="12.75">
      <c r="CC83" s="641">
        <v>400</v>
      </c>
      <c r="CD83" s="641" t="s">
        <v>395</v>
      </c>
      <c r="CE83" s="642">
        <v>9914.52</v>
      </c>
      <c r="CF83" s="643">
        <v>682</v>
      </c>
      <c r="CG83" s="643">
        <v>400</v>
      </c>
      <c r="CH83" s="643">
        <v>937</v>
      </c>
    </row>
    <row r="84" spans="81:86" ht="12.75">
      <c r="CC84" s="641">
        <v>398</v>
      </c>
      <c r="CD84" s="641" t="s">
        <v>396</v>
      </c>
      <c r="CE84" s="642">
        <v>681225.5</v>
      </c>
      <c r="CF84" s="643">
        <v>64349.99999999999</v>
      </c>
      <c r="CG84" s="643">
        <v>72040</v>
      </c>
      <c r="CH84" s="643">
        <v>108410</v>
      </c>
    </row>
    <row r="85" spans="81:86" ht="12.75">
      <c r="CC85" s="641">
        <v>404</v>
      </c>
      <c r="CD85" s="641" t="s">
        <v>397</v>
      </c>
      <c r="CE85" s="642">
        <v>365633.10000000003</v>
      </c>
      <c r="CF85" s="643">
        <v>20700</v>
      </c>
      <c r="CG85" s="643">
        <v>10000</v>
      </c>
      <c r="CH85" s="643">
        <v>30700</v>
      </c>
    </row>
    <row r="86" spans="81:86" ht="12.75">
      <c r="CC86" s="641">
        <v>296</v>
      </c>
      <c r="CD86" s="641" t="s">
        <v>151</v>
      </c>
      <c r="CE86" s="642">
        <v>0</v>
      </c>
      <c r="CF86" s="643">
        <v>0</v>
      </c>
      <c r="CG86" s="643">
        <v>0</v>
      </c>
      <c r="CH86" s="643">
        <v>0</v>
      </c>
    </row>
    <row r="87" spans="81:86" ht="12.75">
      <c r="CC87" s="641">
        <v>414</v>
      </c>
      <c r="CD87" s="641" t="s">
        <v>398</v>
      </c>
      <c r="CE87" s="642">
        <v>2156.22</v>
      </c>
      <c r="CF87" s="643">
        <v>0</v>
      </c>
      <c r="CG87" s="643">
        <v>0</v>
      </c>
      <c r="CH87" s="643">
        <v>20</v>
      </c>
    </row>
    <row r="88" spans="81:86" ht="12.75">
      <c r="CC88" s="641">
        <v>417</v>
      </c>
      <c r="CD88" s="641" t="s">
        <v>399</v>
      </c>
      <c r="CE88" s="642">
        <v>106572.817</v>
      </c>
      <c r="CF88" s="643">
        <v>48930</v>
      </c>
      <c r="CG88" s="643">
        <v>558</v>
      </c>
      <c r="CH88" s="643">
        <v>23618</v>
      </c>
    </row>
    <row r="89" spans="81:86" ht="12.75">
      <c r="CC89" s="641">
        <v>418</v>
      </c>
      <c r="CD89" s="641" t="s">
        <v>152</v>
      </c>
      <c r="CE89" s="642">
        <v>434291.2</v>
      </c>
      <c r="CF89" s="643">
        <v>190400</v>
      </c>
      <c r="CG89" s="643">
        <v>143100</v>
      </c>
      <c r="CH89" s="643">
        <v>333500</v>
      </c>
    </row>
    <row r="90" spans="81:86" ht="12.75">
      <c r="CC90" s="641">
        <v>428</v>
      </c>
      <c r="CD90" s="641" t="s">
        <v>400</v>
      </c>
      <c r="CE90" s="642">
        <v>43084.198000000004</v>
      </c>
      <c r="CF90" s="643">
        <v>16940</v>
      </c>
      <c r="CG90" s="643">
        <v>18000</v>
      </c>
      <c r="CH90" s="643">
        <v>34940</v>
      </c>
    </row>
    <row r="91" spans="81:86" ht="12.75">
      <c r="CC91" s="641">
        <v>422</v>
      </c>
      <c r="CD91" s="641" t="s">
        <v>401</v>
      </c>
      <c r="CE91" s="642">
        <v>6907.45</v>
      </c>
      <c r="CF91" s="643">
        <v>4800</v>
      </c>
      <c r="CG91" s="643">
        <v>0</v>
      </c>
      <c r="CH91" s="643">
        <v>4503</v>
      </c>
    </row>
    <row r="92" spans="81:86" ht="12.75">
      <c r="CC92" s="641">
        <v>426</v>
      </c>
      <c r="CD92" s="641" t="s">
        <v>402</v>
      </c>
      <c r="CE92" s="642">
        <v>23923.68</v>
      </c>
      <c r="CF92" s="643">
        <v>5230</v>
      </c>
      <c r="CG92" s="643">
        <v>0</v>
      </c>
      <c r="CH92" s="643">
        <v>3022</v>
      </c>
    </row>
    <row r="93" spans="81:86" ht="12.75">
      <c r="CC93" s="641">
        <v>430</v>
      </c>
      <c r="CD93" s="641" t="s">
        <v>403</v>
      </c>
      <c r="CE93" s="642">
        <v>266285.67</v>
      </c>
      <c r="CF93" s="643">
        <v>200000</v>
      </c>
      <c r="CG93" s="643">
        <v>32000</v>
      </c>
      <c r="CH93" s="643">
        <v>232000</v>
      </c>
    </row>
    <row r="94" spans="81:86" ht="12.75">
      <c r="CC94" s="641">
        <v>434</v>
      </c>
      <c r="CD94" s="641" t="s">
        <v>153</v>
      </c>
      <c r="CE94" s="642">
        <v>98534.23999999999</v>
      </c>
      <c r="CF94" s="643">
        <v>700</v>
      </c>
      <c r="CG94" s="643">
        <v>0</v>
      </c>
      <c r="CH94" s="643">
        <v>700</v>
      </c>
    </row>
    <row r="95" spans="81:86" ht="12.75">
      <c r="CC95" s="641">
        <v>438</v>
      </c>
      <c r="CD95" s="641" t="s">
        <v>154</v>
      </c>
      <c r="CE95" s="642">
        <v>0</v>
      </c>
      <c r="CF95" s="643">
        <v>0</v>
      </c>
      <c r="CG95" s="643">
        <v>0</v>
      </c>
      <c r="CH95" s="643">
        <v>0</v>
      </c>
    </row>
    <row r="96" spans="81:86" ht="12.75">
      <c r="CC96" s="641">
        <v>440</v>
      </c>
      <c r="CD96" s="641" t="s">
        <v>404</v>
      </c>
      <c r="CE96" s="642">
        <v>42830.240000000005</v>
      </c>
      <c r="CF96" s="643">
        <v>15460</v>
      </c>
      <c r="CG96" s="643">
        <v>9040</v>
      </c>
      <c r="CH96" s="643">
        <v>24500</v>
      </c>
    </row>
    <row r="97" spans="81:86" ht="12.75">
      <c r="CC97" s="641">
        <v>450</v>
      </c>
      <c r="CD97" s="641" t="s">
        <v>405</v>
      </c>
      <c r="CE97" s="642">
        <v>888577.335</v>
      </c>
      <c r="CF97" s="643">
        <v>337000</v>
      </c>
      <c r="CG97" s="643">
        <v>0</v>
      </c>
      <c r="CH97" s="643">
        <v>337000</v>
      </c>
    </row>
    <row r="98" spans="81:86" ht="12.75">
      <c r="CC98" s="641">
        <v>454</v>
      </c>
      <c r="CD98" s="641" t="s">
        <v>406</v>
      </c>
      <c r="CE98" s="642">
        <v>139924.88</v>
      </c>
      <c r="CF98" s="643">
        <v>16140</v>
      </c>
      <c r="CG98" s="643">
        <v>1000</v>
      </c>
      <c r="CH98" s="643">
        <v>17280</v>
      </c>
    </row>
    <row r="99" spans="81:86" ht="12.75">
      <c r="CC99" s="641">
        <v>458</v>
      </c>
      <c r="CD99" s="641" t="s">
        <v>407</v>
      </c>
      <c r="CE99" s="642">
        <v>951050</v>
      </c>
      <c r="CF99" s="643">
        <v>580000</v>
      </c>
      <c r="CG99" s="643">
        <v>0</v>
      </c>
      <c r="CH99" s="643">
        <v>580000</v>
      </c>
    </row>
    <row r="100" spans="81:86" ht="12.75">
      <c r="CC100" s="641">
        <v>462</v>
      </c>
      <c r="CD100" s="641" t="s">
        <v>408</v>
      </c>
      <c r="CE100" s="642">
        <v>591.6</v>
      </c>
      <c r="CF100" s="643">
        <v>30</v>
      </c>
      <c r="CG100" s="643">
        <v>0</v>
      </c>
      <c r="CH100" s="643">
        <v>30</v>
      </c>
    </row>
    <row r="101" spans="81:86" ht="12.75">
      <c r="CC101" s="641">
        <v>466</v>
      </c>
      <c r="CD101" s="641" t="s">
        <v>409</v>
      </c>
      <c r="CE101" s="642">
        <v>349733.58</v>
      </c>
      <c r="CF101" s="643">
        <v>60000</v>
      </c>
      <c r="CG101" s="643">
        <v>60000</v>
      </c>
      <c r="CH101" s="643">
        <v>120000</v>
      </c>
    </row>
    <row r="102" spans="81:86" ht="12.75">
      <c r="CC102" s="641">
        <v>470</v>
      </c>
      <c r="CD102" s="641" t="s">
        <v>410</v>
      </c>
      <c r="CE102" s="642">
        <v>179.2</v>
      </c>
      <c r="CF102" s="643">
        <v>50.5</v>
      </c>
      <c r="CG102" s="643">
        <v>0</v>
      </c>
      <c r="CH102" s="643">
        <v>50.5</v>
      </c>
    </row>
    <row r="103" spans="81:86" ht="12.75">
      <c r="CC103" s="641">
        <v>584</v>
      </c>
      <c r="CD103" s="641" t="s">
        <v>155</v>
      </c>
      <c r="CE103" s="642">
        <v>0</v>
      </c>
      <c r="CF103" s="643">
        <v>0</v>
      </c>
      <c r="CG103" s="643">
        <v>0</v>
      </c>
      <c r="CH103" s="643">
        <v>0</v>
      </c>
    </row>
    <row r="104" spans="81:86" ht="12.75">
      <c r="CC104" s="641">
        <v>474</v>
      </c>
      <c r="CD104" s="641" t="s">
        <v>411</v>
      </c>
      <c r="CE104" s="642">
        <v>0</v>
      </c>
      <c r="CF104" s="643">
        <v>0</v>
      </c>
      <c r="CG104" s="643">
        <v>0</v>
      </c>
      <c r="CH104" s="643">
        <v>0</v>
      </c>
    </row>
    <row r="105" spans="81:86" ht="12.75">
      <c r="CC105" s="641">
        <v>478</v>
      </c>
      <c r="CD105" s="641" t="s">
        <v>412</v>
      </c>
      <c r="CE105" s="642">
        <v>94824.4</v>
      </c>
      <c r="CF105" s="643">
        <v>400</v>
      </c>
      <c r="CG105" s="643">
        <v>0</v>
      </c>
      <c r="CH105" s="643">
        <v>11400</v>
      </c>
    </row>
    <row r="106" spans="81:86" ht="12.75">
      <c r="CC106" s="641">
        <v>480</v>
      </c>
      <c r="CD106" s="641" t="s">
        <v>413</v>
      </c>
      <c r="CE106" s="642">
        <v>4163.64</v>
      </c>
      <c r="CF106" s="643">
        <v>2751</v>
      </c>
      <c r="CG106" s="643">
        <v>0</v>
      </c>
      <c r="CH106" s="643">
        <v>2751</v>
      </c>
    </row>
    <row r="107" spans="81:86" ht="12.75">
      <c r="CC107" s="641">
        <v>583</v>
      </c>
      <c r="CD107" s="641" t="s">
        <v>156</v>
      </c>
      <c r="CE107" s="642">
        <v>0</v>
      </c>
      <c r="CF107" s="643">
        <v>0</v>
      </c>
      <c r="CG107" s="643">
        <v>0</v>
      </c>
      <c r="CH107" s="643">
        <v>0</v>
      </c>
    </row>
    <row r="108" spans="81:86" ht="12.75">
      <c r="CC108" s="641">
        <v>492</v>
      </c>
      <c r="CD108" s="641" t="s">
        <v>157</v>
      </c>
      <c r="CE108" s="642">
        <v>0</v>
      </c>
      <c r="CF108" s="643">
        <v>0</v>
      </c>
      <c r="CG108" s="643">
        <v>0</v>
      </c>
      <c r="CH108" s="643">
        <v>0</v>
      </c>
    </row>
    <row r="109" spans="81:86" ht="12.75">
      <c r="CC109" s="641">
        <v>496</v>
      </c>
      <c r="CD109" s="641" t="s">
        <v>414</v>
      </c>
      <c r="CE109" s="642">
        <v>376951.956</v>
      </c>
      <c r="CF109" s="643">
        <v>34800</v>
      </c>
      <c r="CG109" s="643">
        <v>0</v>
      </c>
      <c r="CH109" s="643">
        <v>34800</v>
      </c>
    </row>
    <row r="110" spans="81:86" ht="12.75">
      <c r="CC110" s="641">
        <v>499</v>
      </c>
      <c r="CD110" s="641" t="s">
        <v>158</v>
      </c>
      <c r="CE110" s="642">
        <v>0</v>
      </c>
      <c r="CF110" s="643">
        <v>0</v>
      </c>
      <c r="CG110" s="643">
        <v>0</v>
      </c>
      <c r="CH110" s="643">
        <v>0</v>
      </c>
    </row>
    <row r="111" spans="81:86" ht="12.75">
      <c r="CC111" s="641">
        <v>504</v>
      </c>
      <c r="CD111" s="641" t="s">
        <v>415</v>
      </c>
      <c r="CE111" s="642">
        <v>154506.30000000002</v>
      </c>
      <c r="CF111" s="643">
        <v>29000</v>
      </c>
      <c r="CG111" s="643">
        <v>0</v>
      </c>
      <c r="CH111" s="643">
        <v>29000</v>
      </c>
    </row>
    <row r="112" spans="81:86" ht="12.75">
      <c r="CC112" s="641">
        <v>508</v>
      </c>
      <c r="CD112" s="641" t="s">
        <v>416</v>
      </c>
      <c r="CE112" s="642">
        <v>824960.1599999999</v>
      </c>
      <c r="CF112" s="643">
        <v>100300</v>
      </c>
      <c r="CG112" s="643">
        <v>116800</v>
      </c>
      <c r="CH112" s="643">
        <v>217100</v>
      </c>
    </row>
    <row r="113" spans="81:86" ht="12.75">
      <c r="CC113" s="641">
        <v>104</v>
      </c>
      <c r="CD113" s="641" t="s">
        <v>417</v>
      </c>
      <c r="CE113" s="642">
        <v>1414854.24</v>
      </c>
      <c r="CF113" s="643">
        <v>1002800</v>
      </c>
      <c r="CG113" s="643">
        <v>128199.99999999999</v>
      </c>
      <c r="CH113" s="643">
        <v>1167800</v>
      </c>
    </row>
    <row r="114" spans="81:86" ht="12.75">
      <c r="CC114" s="641">
        <v>516</v>
      </c>
      <c r="CD114" s="641" t="s">
        <v>418</v>
      </c>
      <c r="CE114" s="642">
        <v>234922.65</v>
      </c>
      <c r="CF114" s="643">
        <v>6160</v>
      </c>
      <c r="CG114" s="643">
        <v>11000</v>
      </c>
      <c r="CH114" s="643">
        <v>39910</v>
      </c>
    </row>
    <row r="115" spans="81:86" ht="12.75">
      <c r="CC115" s="641">
        <v>520</v>
      </c>
      <c r="CD115" s="641" t="s">
        <v>159</v>
      </c>
      <c r="CE115" s="642">
        <v>0</v>
      </c>
      <c r="CF115" s="643">
        <v>10</v>
      </c>
      <c r="CG115" s="643">
        <v>0</v>
      </c>
      <c r="CH115" s="643">
        <v>10</v>
      </c>
    </row>
    <row r="116" spans="81:86" ht="12.75">
      <c r="CC116" s="641">
        <v>524</v>
      </c>
      <c r="CD116" s="641" t="s">
        <v>419</v>
      </c>
      <c r="CE116" s="642">
        <v>220770</v>
      </c>
      <c r="CF116" s="643">
        <v>198200</v>
      </c>
      <c r="CG116" s="643">
        <v>12000</v>
      </c>
      <c r="CH116" s="643">
        <v>210200</v>
      </c>
    </row>
    <row r="117" spans="81:86" ht="12.75">
      <c r="CC117" s="641">
        <v>540</v>
      </c>
      <c r="CD117" s="641" t="s">
        <v>420</v>
      </c>
      <c r="CE117" s="642">
        <v>0</v>
      </c>
      <c r="CF117" s="643">
        <v>0</v>
      </c>
      <c r="CG117" s="643">
        <v>0</v>
      </c>
      <c r="CH117" s="643">
        <v>0</v>
      </c>
    </row>
    <row r="118" spans="81:86" ht="12.75">
      <c r="CC118" s="641">
        <v>558</v>
      </c>
      <c r="CD118" s="641" t="s">
        <v>421</v>
      </c>
      <c r="CE118" s="642">
        <v>297243.60000000003</v>
      </c>
      <c r="CF118" s="643">
        <v>156210</v>
      </c>
      <c r="CG118" s="643">
        <v>8310</v>
      </c>
      <c r="CH118" s="643">
        <v>164520</v>
      </c>
    </row>
    <row r="119" spans="81:86" ht="12.75">
      <c r="CC119" s="641">
        <v>562</v>
      </c>
      <c r="CD119" s="641" t="s">
        <v>422</v>
      </c>
      <c r="CE119" s="642">
        <v>191317</v>
      </c>
      <c r="CF119" s="643">
        <v>3500</v>
      </c>
      <c r="CG119" s="643">
        <v>29200</v>
      </c>
      <c r="CH119" s="643">
        <v>34050</v>
      </c>
    </row>
    <row r="120" spans="81:86" ht="12.75">
      <c r="CC120" s="641">
        <v>566</v>
      </c>
      <c r="CD120" s="641" t="s">
        <v>423</v>
      </c>
      <c r="CE120" s="642">
        <v>1062335.5</v>
      </c>
      <c r="CF120" s="643">
        <v>221000</v>
      </c>
      <c r="CG120" s="643">
        <v>65200</v>
      </c>
      <c r="CH120" s="643">
        <v>286200</v>
      </c>
    </row>
    <row r="121" spans="81:86" ht="12.75">
      <c r="CC121" s="641">
        <v>570</v>
      </c>
      <c r="CD121" s="641" t="s">
        <v>506</v>
      </c>
      <c r="CE121" s="642">
        <v>0</v>
      </c>
      <c r="CF121" s="643">
        <v>0</v>
      </c>
      <c r="CG121" s="643">
        <v>0</v>
      </c>
      <c r="CH121" s="643">
        <v>0</v>
      </c>
    </row>
    <row r="122" spans="81:86" ht="12.75">
      <c r="CC122" s="641">
        <v>275</v>
      </c>
      <c r="CD122" s="641" t="s">
        <v>507</v>
      </c>
      <c r="CE122" s="642">
        <v>2420.04</v>
      </c>
      <c r="CF122" s="643">
        <v>812</v>
      </c>
      <c r="CG122" s="643">
        <v>15</v>
      </c>
      <c r="CH122" s="643">
        <v>837</v>
      </c>
    </row>
    <row r="123" spans="81:86" ht="12.75">
      <c r="CC123" s="641">
        <v>512</v>
      </c>
      <c r="CD123" s="641" t="s">
        <v>424</v>
      </c>
      <c r="CE123" s="642">
        <v>38687.5</v>
      </c>
      <c r="CF123" s="643">
        <v>1400</v>
      </c>
      <c r="CG123" s="643">
        <v>0</v>
      </c>
      <c r="CH123" s="643">
        <v>1400</v>
      </c>
    </row>
    <row r="124" spans="81:86" ht="12.75">
      <c r="CC124" s="641">
        <v>586</v>
      </c>
      <c r="CD124" s="641" t="s">
        <v>425</v>
      </c>
      <c r="CE124" s="642">
        <v>393273.39999999997</v>
      </c>
      <c r="CF124" s="643">
        <v>55000</v>
      </c>
      <c r="CG124" s="643">
        <v>265100</v>
      </c>
      <c r="CH124" s="643">
        <v>246800</v>
      </c>
    </row>
    <row r="125" spans="81:86" ht="12.75">
      <c r="CC125" s="641">
        <v>585</v>
      </c>
      <c r="CD125" s="641" t="s">
        <v>160</v>
      </c>
      <c r="CE125" s="642">
        <v>0</v>
      </c>
      <c r="CF125" s="643">
        <v>0</v>
      </c>
      <c r="CG125" s="643">
        <v>0</v>
      </c>
      <c r="CH125" s="643">
        <v>0</v>
      </c>
    </row>
    <row r="126" spans="81:86" ht="12.75">
      <c r="CC126" s="641">
        <v>591</v>
      </c>
      <c r="CD126" s="641" t="s">
        <v>426</v>
      </c>
      <c r="CE126" s="642">
        <v>220536.96</v>
      </c>
      <c r="CF126" s="643">
        <v>136600</v>
      </c>
      <c r="CG126" s="643">
        <v>0</v>
      </c>
      <c r="CH126" s="643">
        <v>139304</v>
      </c>
    </row>
    <row r="127" spans="81:86" ht="12.75">
      <c r="CC127" s="641">
        <v>598</v>
      </c>
      <c r="CD127" s="641" t="s">
        <v>427</v>
      </c>
      <c r="CE127" s="642">
        <v>1454243.28</v>
      </c>
      <c r="CF127" s="643">
        <v>801000</v>
      </c>
      <c r="CG127" s="643">
        <v>0</v>
      </c>
      <c r="CH127" s="643">
        <v>801000</v>
      </c>
    </row>
    <row r="128" spans="81:86" ht="12.75">
      <c r="CC128" s="641">
        <v>600</v>
      </c>
      <c r="CD128" s="641" t="s">
        <v>428</v>
      </c>
      <c r="CE128" s="642">
        <v>459629.75999999995</v>
      </c>
      <c r="CF128" s="643">
        <v>117000</v>
      </c>
      <c r="CG128" s="643">
        <v>73270</v>
      </c>
      <c r="CH128" s="643">
        <v>387770</v>
      </c>
    </row>
    <row r="129" spans="81:86" ht="12.75">
      <c r="CC129" s="641">
        <v>604</v>
      </c>
      <c r="CD129" s="641" t="s">
        <v>429</v>
      </c>
      <c r="CE129" s="642">
        <v>2233712.36</v>
      </c>
      <c r="CF129" s="643">
        <v>1641000</v>
      </c>
      <c r="CG129" s="643">
        <v>128800.00000000001</v>
      </c>
      <c r="CH129" s="643">
        <v>1879800</v>
      </c>
    </row>
    <row r="130" spans="81:86" ht="12.75">
      <c r="CC130" s="641">
        <v>608</v>
      </c>
      <c r="CD130" s="641" t="s">
        <v>430</v>
      </c>
      <c r="CE130" s="642">
        <v>704400</v>
      </c>
      <c r="CF130" s="643">
        <v>479000</v>
      </c>
      <c r="CG130" s="643">
        <v>0</v>
      </c>
      <c r="CH130" s="643">
        <v>479000</v>
      </c>
    </row>
    <row r="131" spans="81:86" ht="12.75">
      <c r="CC131" s="641">
        <v>630</v>
      </c>
      <c r="CD131" s="641" t="s">
        <v>431</v>
      </c>
      <c r="CE131" s="642">
        <v>18218.98</v>
      </c>
      <c r="CF131" s="643">
        <v>7100</v>
      </c>
      <c r="CG131" s="643">
        <v>0</v>
      </c>
      <c r="CH131" s="643">
        <v>7100</v>
      </c>
    </row>
    <row r="132" spans="81:86" ht="12.75">
      <c r="CC132" s="641">
        <v>634</v>
      </c>
      <c r="CD132" s="641" t="s">
        <v>432</v>
      </c>
      <c r="CE132" s="642">
        <v>850.26</v>
      </c>
      <c r="CF132" s="643">
        <v>56</v>
      </c>
      <c r="CG132" s="643">
        <v>0</v>
      </c>
      <c r="CH132" s="643">
        <v>58</v>
      </c>
    </row>
    <row r="133" spans="81:86" ht="12.75">
      <c r="CC133" s="641">
        <v>498</v>
      </c>
      <c r="CD133" s="641" t="s">
        <v>433</v>
      </c>
      <c r="CE133" s="642">
        <v>15232.5</v>
      </c>
      <c r="CF133" s="643">
        <v>1620</v>
      </c>
      <c r="CG133" s="643">
        <v>9200</v>
      </c>
      <c r="CH133" s="643">
        <v>12270</v>
      </c>
    </row>
    <row r="134" spans="81:86" ht="12.75">
      <c r="CC134" s="641">
        <v>638</v>
      </c>
      <c r="CD134" s="641" t="s">
        <v>434</v>
      </c>
      <c r="CE134" s="642">
        <v>0</v>
      </c>
      <c r="CF134" s="643">
        <v>0</v>
      </c>
      <c r="CG134" s="643">
        <v>0</v>
      </c>
      <c r="CH134" s="643">
        <v>0</v>
      </c>
    </row>
    <row r="135" spans="81:86" ht="12.75">
      <c r="CC135" s="641">
        <v>642</v>
      </c>
      <c r="CD135" s="641" t="s">
        <v>435</v>
      </c>
      <c r="CE135" s="642">
        <v>151860.80000000002</v>
      </c>
      <c r="CF135" s="643">
        <v>42380</v>
      </c>
      <c r="CG135" s="643">
        <v>168100</v>
      </c>
      <c r="CH135" s="643">
        <v>212010</v>
      </c>
    </row>
    <row r="136" spans="81:86" ht="12.75">
      <c r="CC136" s="641">
        <v>643</v>
      </c>
      <c r="CD136" s="641" t="s">
        <v>440</v>
      </c>
      <c r="CE136" s="642">
        <v>7865195</v>
      </c>
      <c r="CF136" s="643">
        <v>4312000</v>
      </c>
      <c r="CG136" s="643">
        <v>204600</v>
      </c>
      <c r="CH136" s="643">
        <v>4525445</v>
      </c>
    </row>
    <row r="137" spans="81:86" ht="12.75">
      <c r="CC137" s="641">
        <v>646</v>
      </c>
      <c r="CD137" s="641" t="s">
        <v>441</v>
      </c>
      <c r="CE137" s="642">
        <v>31924.08</v>
      </c>
      <c r="CF137" s="643">
        <v>9500</v>
      </c>
      <c r="CG137" s="643">
        <v>3800</v>
      </c>
      <c r="CH137" s="643">
        <v>13300</v>
      </c>
    </row>
    <row r="138" spans="81:86" ht="12.75">
      <c r="CC138" s="641">
        <v>654</v>
      </c>
      <c r="CD138" s="641" t="s">
        <v>442</v>
      </c>
      <c r="CE138" s="642">
        <v>0</v>
      </c>
      <c r="CF138" s="643">
        <v>0</v>
      </c>
      <c r="CG138" s="643">
        <v>0</v>
      </c>
      <c r="CH138" s="643">
        <v>0</v>
      </c>
    </row>
    <row r="139" spans="81:86" ht="12.75">
      <c r="CC139" s="641">
        <v>659</v>
      </c>
      <c r="CD139" s="641" t="s">
        <v>443</v>
      </c>
      <c r="CE139" s="642">
        <v>371.02000000000004</v>
      </c>
      <c r="CF139" s="643">
        <v>24</v>
      </c>
      <c r="CG139" s="643">
        <v>0</v>
      </c>
      <c r="CH139" s="643">
        <v>24</v>
      </c>
    </row>
    <row r="140" spans="81:86" ht="12.75">
      <c r="CC140" s="641">
        <v>662</v>
      </c>
      <c r="CD140" s="641" t="s">
        <v>444</v>
      </c>
      <c r="CE140" s="642">
        <v>1426.62</v>
      </c>
      <c r="CF140" s="643">
        <v>300</v>
      </c>
      <c r="CG140" s="643">
        <v>0</v>
      </c>
      <c r="CH140" s="643">
        <v>300</v>
      </c>
    </row>
    <row r="141" spans="81:86" ht="12.75">
      <c r="CC141" s="641">
        <v>670</v>
      </c>
      <c r="CD141" s="641" t="s">
        <v>161</v>
      </c>
      <c r="CE141" s="642">
        <v>617.37</v>
      </c>
      <c r="CF141" s="643">
        <v>100</v>
      </c>
      <c r="CG141" s="643">
        <v>0</v>
      </c>
      <c r="CH141" s="643">
        <v>100</v>
      </c>
    </row>
    <row r="142" spans="81:86" ht="12.75">
      <c r="CC142" s="641">
        <v>882</v>
      </c>
      <c r="CD142" s="641" t="s">
        <v>445</v>
      </c>
      <c r="CE142" s="642">
        <v>8179.2</v>
      </c>
      <c r="CF142" s="643">
        <v>2180</v>
      </c>
      <c r="CG142" s="643">
        <v>0</v>
      </c>
      <c r="CH142" s="643">
        <v>0</v>
      </c>
    </row>
    <row r="143" spans="81:86" ht="12.75">
      <c r="CC143" s="641">
        <v>674</v>
      </c>
      <c r="CD143" s="641" t="s">
        <v>162</v>
      </c>
      <c r="CE143" s="642">
        <v>0</v>
      </c>
      <c r="CF143" s="643">
        <v>0</v>
      </c>
      <c r="CG143" s="643">
        <v>0</v>
      </c>
      <c r="CH143" s="643">
        <v>0</v>
      </c>
    </row>
    <row r="144" spans="81:86" ht="12.75">
      <c r="CC144" s="641">
        <v>678</v>
      </c>
      <c r="CD144" s="641" t="s">
        <v>447</v>
      </c>
      <c r="CE144" s="642">
        <v>3072</v>
      </c>
      <c r="CF144" s="643">
        <v>0</v>
      </c>
      <c r="CG144" s="643">
        <v>0</v>
      </c>
      <c r="CH144" s="643">
        <v>2180</v>
      </c>
    </row>
    <row r="145" spans="81:86" ht="12.75">
      <c r="CC145" s="641">
        <v>682</v>
      </c>
      <c r="CD145" s="641" t="s">
        <v>448</v>
      </c>
      <c r="CE145" s="642">
        <v>126831.71</v>
      </c>
      <c r="CF145" s="643">
        <v>2400</v>
      </c>
      <c r="CG145" s="643">
        <v>0</v>
      </c>
      <c r="CH145" s="643">
        <v>2400</v>
      </c>
    </row>
    <row r="146" spans="81:86" ht="12.75">
      <c r="CC146" s="641">
        <v>686</v>
      </c>
      <c r="CD146" s="641" t="s">
        <v>449</v>
      </c>
      <c r="CE146" s="642">
        <v>134943.06</v>
      </c>
      <c r="CF146" s="643">
        <v>25800</v>
      </c>
      <c r="CG146" s="643">
        <v>2170</v>
      </c>
      <c r="CH146" s="643">
        <v>38970</v>
      </c>
    </row>
    <row r="147" spans="81:86" ht="12.75">
      <c r="CC147" s="641">
        <v>891</v>
      </c>
      <c r="CD147" s="641" t="s">
        <v>163</v>
      </c>
      <c r="CE147" s="642">
        <v>49980</v>
      </c>
      <c r="CF147" s="643">
        <v>8407</v>
      </c>
      <c r="CG147" s="643">
        <v>0</v>
      </c>
      <c r="CH147" s="643">
        <v>162200</v>
      </c>
    </row>
    <row r="148" spans="81:86" ht="12.75">
      <c r="CC148" s="641">
        <v>690</v>
      </c>
      <c r="CD148" s="641" t="s">
        <v>450</v>
      </c>
      <c r="CE148" s="642">
        <v>1071.8000000000002</v>
      </c>
      <c r="CF148" s="643">
        <v>0</v>
      </c>
      <c r="CG148" s="643">
        <v>0</v>
      </c>
      <c r="CH148" s="643">
        <v>0</v>
      </c>
    </row>
    <row r="149" spans="81:86" ht="12.75">
      <c r="CC149" s="641">
        <v>694</v>
      </c>
      <c r="CD149" s="641" t="s">
        <v>451</v>
      </c>
      <c r="CE149" s="642">
        <v>182629.8</v>
      </c>
      <c r="CF149" s="643">
        <v>160000</v>
      </c>
      <c r="CG149" s="643">
        <v>0</v>
      </c>
      <c r="CH149" s="643">
        <v>160000</v>
      </c>
    </row>
    <row r="150" spans="81:86" ht="12.75">
      <c r="CC150" s="641">
        <v>702</v>
      </c>
      <c r="CD150" s="641" t="s">
        <v>452</v>
      </c>
      <c r="CE150" s="642">
        <v>1807.828</v>
      </c>
      <c r="CF150" s="643">
        <v>600</v>
      </c>
      <c r="CG150" s="643">
        <v>0</v>
      </c>
      <c r="CH150" s="643">
        <v>600</v>
      </c>
    </row>
    <row r="151" spans="81:86" ht="12.75">
      <c r="CC151" s="641">
        <v>703</v>
      </c>
      <c r="CD151" s="641" t="s">
        <v>453</v>
      </c>
      <c r="CE151" s="642">
        <v>40400.72</v>
      </c>
      <c r="CF151" s="643">
        <v>12600</v>
      </c>
      <c r="CG151" s="643">
        <v>0</v>
      </c>
      <c r="CH151" s="643">
        <v>50100</v>
      </c>
    </row>
    <row r="152" spans="81:86" ht="12.75">
      <c r="CC152" s="641">
        <v>90</v>
      </c>
      <c r="CD152" s="641" t="s">
        <v>454</v>
      </c>
      <c r="CE152" s="642">
        <v>87509.20000000001</v>
      </c>
      <c r="CF152" s="643">
        <v>44700</v>
      </c>
      <c r="CG152" s="643">
        <v>0</v>
      </c>
      <c r="CH152" s="643">
        <v>44700</v>
      </c>
    </row>
    <row r="153" spans="81:86" ht="25.5" customHeight="1">
      <c r="CC153" s="641">
        <v>706</v>
      </c>
      <c r="CD153" s="641" t="s">
        <v>455</v>
      </c>
      <c r="CE153" s="642">
        <v>179820.12</v>
      </c>
      <c r="CF153" s="643">
        <v>6000</v>
      </c>
      <c r="CG153" s="643">
        <v>8700</v>
      </c>
      <c r="CH153" s="643">
        <v>14700</v>
      </c>
    </row>
    <row r="154" spans="81:86" ht="12.75">
      <c r="CC154" s="641">
        <v>710</v>
      </c>
      <c r="CD154" s="641" t="s">
        <v>456</v>
      </c>
      <c r="CE154" s="642">
        <v>603449.55</v>
      </c>
      <c r="CF154" s="643">
        <v>44800</v>
      </c>
      <c r="CG154" s="643">
        <v>6600</v>
      </c>
      <c r="CH154" s="643">
        <v>51350</v>
      </c>
    </row>
    <row r="155" spans="81:86" ht="12.75">
      <c r="CC155" s="641">
        <v>728</v>
      </c>
      <c r="CD155" s="641" t="s">
        <v>508</v>
      </c>
      <c r="CE155" s="642">
        <v>570515.9184000001</v>
      </c>
      <c r="CF155" s="643">
        <v>26000</v>
      </c>
      <c r="CG155" s="643">
        <v>50000</v>
      </c>
      <c r="CH155" s="643">
        <v>49500</v>
      </c>
    </row>
    <row r="156" spans="81:86" ht="12.75">
      <c r="CC156" s="641">
        <v>144</v>
      </c>
      <c r="CD156" s="641" t="s">
        <v>457</v>
      </c>
      <c r="CE156" s="642">
        <v>112324.32</v>
      </c>
      <c r="CF156" s="643">
        <v>52800</v>
      </c>
      <c r="CG156" s="643">
        <v>0</v>
      </c>
      <c r="CH156" s="643">
        <v>52800</v>
      </c>
    </row>
    <row r="157" spans="81:86" ht="12.75">
      <c r="CC157" s="641">
        <v>729</v>
      </c>
      <c r="CD157" s="641" t="s">
        <v>509</v>
      </c>
      <c r="CE157" s="642">
        <v>463526.35125</v>
      </c>
      <c r="CF157" s="643">
        <v>4000</v>
      </c>
      <c r="CG157" s="643">
        <v>99300</v>
      </c>
      <c r="CH157" s="643">
        <v>37800</v>
      </c>
    </row>
    <row r="158" spans="81:86" ht="12.75">
      <c r="CC158" s="641">
        <v>740</v>
      </c>
      <c r="CD158" s="641" t="s">
        <v>458</v>
      </c>
      <c r="CE158" s="642">
        <v>381864.42</v>
      </c>
      <c r="CF158" s="643">
        <v>99000</v>
      </c>
      <c r="CG158" s="643">
        <v>0</v>
      </c>
      <c r="CH158" s="643">
        <v>99000</v>
      </c>
    </row>
    <row r="159" spans="81:86" ht="12.75">
      <c r="CC159" s="641">
        <v>748</v>
      </c>
      <c r="CD159" s="641" t="s">
        <v>459</v>
      </c>
      <c r="CE159" s="642">
        <v>13679.68</v>
      </c>
      <c r="CF159" s="643">
        <v>2640</v>
      </c>
      <c r="CG159" s="643">
        <v>1870</v>
      </c>
      <c r="CH159" s="643">
        <v>4510</v>
      </c>
    </row>
    <row r="160" spans="81:86" ht="12.75">
      <c r="CC160" s="641">
        <v>760</v>
      </c>
      <c r="CD160" s="641" t="s">
        <v>463</v>
      </c>
      <c r="CE160" s="642">
        <v>46665.36</v>
      </c>
      <c r="CF160" s="643">
        <v>7132</v>
      </c>
      <c r="CG160" s="643">
        <v>28520</v>
      </c>
      <c r="CH160" s="643">
        <v>16802</v>
      </c>
    </row>
    <row r="161" spans="81:86" ht="12.75">
      <c r="CC161" s="641">
        <v>762</v>
      </c>
      <c r="CD161" s="641" t="s">
        <v>464</v>
      </c>
      <c r="CE161" s="642">
        <v>97693.58</v>
      </c>
      <c r="CF161" s="643">
        <v>63460</v>
      </c>
      <c r="CG161" s="643">
        <v>34190</v>
      </c>
      <c r="CH161" s="643">
        <v>21910</v>
      </c>
    </row>
    <row r="162" spans="81:86" ht="12.75">
      <c r="CC162" s="641">
        <v>764</v>
      </c>
      <c r="CD162" s="641" t="s">
        <v>465</v>
      </c>
      <c r="CE162" s="642">
        <v>832280.6399999999</v>
      </c>
      <c r="CF162" s="643">
        <v>224510</v>
      </c>
      <c r="CG162" s="643">
        <v>0</v>
      </c>
      <c r="CH162" s="643">
        <v>438610</v>
      </c>
    </row>
    <row r="163" spans="81:86" ht="12.75">
      <c r="CC163" s="641">
        <v>807</v>
      </c>
      <c r="CD163" s="641" t="s">
        <v>164</v>
      </c>
      <c r="CE163" s="642">
        <v>15914.490000000002</v>
      </c>
      <c r="CF163" s="643">
        <v>5400</v>
      </c>
      <c r="CG163" s="643">
        <v>1000</v>
      </c>
      <c r="CH163" s="643">
        <v>6400</v>
      </c>
    </row>
    <row r="164" spans="81:86" ht="12.75">
      <c r="CC164" s="641">
        <v>626</v>
      </c>
      <c r="CD164" s="641" t="s">
        <v>165</v>
      </c>
      <c r="CE164" s="642">
        <v>22305</v>
      </c>
      <c r="CF164" s="643">
        <v>8215</v>
      </c>
      <c r="CG164" s="643">
        <v>0</v>
      </c>
      <c r="CH164" s="643">
        <v>8215</v>
      </c>
    </row>
    <row r="165" spans="81:86" ht="12.75">
      <c r="CC165" s="641">
        <v>768</v>
      </c>
      <c r="CD165" s="641" t="s">
        <v>466</v>
      </c>
      <c r="CE165" s="642">
        <v>66330.72</v>
      </c>
      <c r="CF165" s="643">
        <v>11500</v>
      </c>
      <c r="CG165" s="643">
        <v>3200</v>
      </c>
      <c r="CH165" s="643">
        <v>14700</v>
      </c>
    </row>
    <row r="166" spans="81:86" ht="12.75">
      <c r="CC166" s="644">
        <v>772</v>
      </c>
      <c r="CD166" s="644" t="s">
        <v>510</v>
      </c>
      <c r="CE166" s="642">
        <v>0</v>
      </c>
      <c r="CF166" s="643">
        <v>0</v>
      </c>
      <c r="CG166" s="643">
        <v>0</v>
      </c>
      <c r="CH166" s="643">
        <v>0</v>
      </c>
    </row>
    <row r="167" spans="81:86" ht="12.75">
      <c r="CC167" s="644">
        <v>776</v>
      </c>
      <c r="CD167" s="644" t="s">
        <v>468</v>
      </c>
      <c r="CE167" s="642">
        <v>0</v>
      </c>
      <c r="CF167" s="643">
        <v>0</v>
      </c>
      <c r="CG167" s="643">
        <v>0</v>
      </c>
      <c r="CH167" s="643">
        <v>0</v>
      </c>
    </row>
    <row r="168" spans="81:86" ht="12.75">
      <c r="CC168" s="641">
        <v>780</v>
      </c>
      <c r="CD168" s="641" t="s">
        <v>469</v>
      </c>
      <c r="CE168" s="642">
        <v>11286</v>
      </c>
      <c r="CF168" s="643">
        <v>3840</v>
      </c>
      <c r="CG168" s="643">
        <v>0</v>
      </c>
      <c r="CH168" s="643">
        <v>3840</v>
      </c>
    </row>
    <row r="169" spans="81:86" ht="12.75">
      <c r="CC169" s="641">
        <v>788</v>
      </c>
      <c r="CD169" s="641" t="s">
        <v>470</v>
      </c>
      <c r="CE169" s="642">
        <v>33867.27</v>
      </c>
      <c r="CF169" s="643">
        <v>4195</v>
      </c>
      <c r="CG169" s="643">
        <v>320</v>
      </c>
      <c r="CH169" s="643">
        <v>4615</v>
      </c>
    </row>
    <row r="170" spans="81:86" ht="12.75">
      <c r="CC170" s="641">
        <v>795</v>
      </c>
      <c r="CD170" s="641" t="s">
        <v>471</v>
      </c>
      <c r="CE170" s="642">
        <v>78584.1</v>
      </c>
      <c r="CF170" s="643">
        <v>1405</v>
      </c>
      <c r="CG170" s="643">
        <v>80200</v>
      </c>
      <c r="CH170" s="643">
        <v>24765</v>
      </c>
    </row>
    <row r="171" spans="81:86" ht="12.75">
      <c r="CC171" s="641">
        <v>798</v>
      </c>
      <c r="CD171" s="641" t="s">
        <v>166</v>
      </c>
      <c r="CE171" s="642">
        <v>0</v>
      </c>
      <c r="CF171" s="643">
        <v>0</v>
      </c>
      <c r="CG171" s="643">
        <v>0</v>
      </c>
      <c r="CH171" s="643">
        <v>0</v>
      </c>
    </row>
    <row r="172" spans="81:86" ht="12.75">
      <c r="CC172" s="641">
        <v>800</v>
      </c>
      <c r="CD172" s="641" t="s">
        <v>472</v>
      </c>
      <c r="CE172" s="642">
        <v>285029</v>
      </c>
      <c r="CF172" s="643">
        <v>39000</v>
      </c>
      <c r="CG172" s="643">
        <v>21100</v>
      </c>
      <c r="CH172" s="643">
        <v>60100</v>
      </c>
    </row>
    <row r="173" spans="81:86" ht="12.75">
      <c r="CC173" s="641">
        <v>804</v>
      </c>
      <c r="CD173" s="641" t="s">
        <v>473</v>
      </c>
      <c r="CE173" s="642">
        <v>341005.75</v>
      </c>
      <c r="CF173" s="643">
        <v>55100</v>
      </c>
      <c r="CG173" s="643">
        <v>36130</v>
      </c>
      <c r="CH173" s="643">
        <v>175280</v>
      </c>
    </row>
    <row r="174" spans="81:86" ht="12.75">
      <c r="CC174" s="641">
        <v>784</v>
      </c>
      <c r="CD174" s="641" t="s">
        <v>474</v>
      </c>
      <c r="CE174" s="642">
        <v>5553.76653</v>
      </c>
      <c r="CF174" s="643">
        <v>150</v>
      </c>
      <c r="CG174" s="643">
        <v>0</v>
      </c>
      <c r="CH174" s="643">
        <v>150</v>
      </c>
    </row>
    <row r="175" spans="81:86" ht="12.75">
      <c r="CC175" s="641">
        <v>834</v>
      </c>
      <c r="CD175" s="641" t="s">
        <v>167</v>
      </c>
      <c r="CE175" s="642">
        <v>1014558.3</v>
      </c>
      <c r="CF175" s="643">
        <v>84000</v>
      </c>
      <c r="CG175" s="643">
        <v>12270</v>
      </c>
      <c r="CH175" s="643">
        <v>96270</v>
      </c>
    </row>
    <row r="176" spans="81:86" ht="25.5" customHeight="1">
      <c r="CC176" s="641">
        <v>858</v>
      </c>
      <c r="CD176" s="641" t="s">
        <v>476</v>
      </c>
      <c r="CE176" s="642">
        <v>229086</v>
      </c>
      <c r="CF176" s="643">
        <v>92200</v>
      </c>
      <c r="CG176" s="643">
        <v>5000</v>
      </c>
      <c r="CH176" s="643">
        <v>172200</v>
      </c>
    </row>
    <row r="177" spans="81:86" ht="12.75">
      <c r="CC177" s="641">
        <v>860</v>
      </c>
      <c r="CD177" s="641" t="s">
        <v>477</v>
      </c>
      <c r="CE177" s="642">
        <v>92478.34400000001</v>
      </c>
      <c r="CF177" s="643">
        <v>16340</v>
      </c>
      <c r="CG177" s="643">
        <v>102200</v>
      </c>
      <c r="CH177" s="643">
        <v>48870</v>
      </c>
    </row>
    <row r="178" spans="81:86" ht="12.75">
      <c r="CC178" s="641">
        <v>548</v>
      </c>
      <c r="CD178" s="641" t="s">
        <v>168</v>
      </c>
      <c r="CE178" s="642">
        <v>24380</v>
      </c>
      <c r="CF178" s="643">
        <v>10000</v>
      </c>
      <c r="CG178" s="643">
        <v>0</v>
      </c>
      <c r="CH178" s="643">
        <v>10000</v>
      </c>
    </row>
    <row r="179" spans="81:86" ht="38.25" customHeight="1">
      <c r="CC179" s="641">
        <v>862</v>
      </c>
      <c r="CD179" s="641" t="s">
        <v>169</v>
      </c>
      <c r="CE179" s="642">
        <v>1864230.2</v>
      </c>
      <c r="CF179" s="643">
        <v>805000</v>
      </c>
      <c r="CG179" s="643">
        <v>495000</v>
      </c>
      <c r="CH179" s="643">
        <v>1325000</v>
      </c>
    </row>
    <row r="180" spans="81:86" ht="12.75">
      <c r="CC180" s="641">
        <v>704</v>
      </c>
      <c r="CD180" s="641" t="s">
        <v>478</v>
      </c>
      <c r="CE180" s="642">
        <v>603169.8300000001</v>
      </c>
      <c r="CF180" s="643">
        <v>359420</v>
      </c>
      <c r="CG180" s="643">
        <v>524700</v>
      </c>
      <c r="CH180" s="643">
        <v>884120</v>
      </c>
    </row>
    <row r="181" spans="81:86" ht="12.75">
      <c r="CC181" s="641">
        <v>887</v>
      </c>
      <c r="CD181" s="641" t="s">
        <v>479</v>
      </c>
      <c r="CE181" s="642">
        <v>88170.99</v>
      </c>
      <c r="CF181" s="643">
        <v>2100</v>
      </c>
      <c r="CG181" s="643">
        <v>0</v>
      </c>
      <c r="CH181" s="643">
        <v>2100</v>
      </c>
    </row>
    <row r="182" spans="81:86" ht="12.75">
      <c r="CC182" s="641">
        <v>894</v>
      </c>
      <c r="CD182" s="641" t="s">
        <v>480</v>
      </c>
      <c r="CE182" s="642">
        <v>767662.2</v>
      </c>
      <c r="CF182" s="643">
        <v>80200</v>
      </c>
      <c r="CG182" s="643">
        <v>24600</v>
      </c>
      <c r="CH182" s="643">
        <v>104800</v>
      </c>
    </row>
    <row r="183" spans="81:86" ht="12.75">
      <c r="CC183" s="641">
        <v>716</v>
      </c>
      <c r="CD183" s="641" t="s">
        <v>481</v>
      </c>
      <c r="CE183" s="642">
        <v>256729.31999999998</v>
      </c>
      <c r="CF183" s="643">
        <v>12260</v>
      </c>
      <c r="CG183" s="643">
        <v>0</v>
      </c>
      <c r="CH183" s="643">
        <v>20000</v>
      </c>
    </row>
    <row r="207" ht="22.5" customHeight="1"/>
  </sheetData>
  <sheetProtection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A1">
      <selection activeCell="E8" sqref="E8:E30"/>
    </sheetView>
  </sheetViews>
  <sheetFormatPr defaultColWidth="12" defaultRowHeight="12.75"/>
  <cols>
    <col min="1" max="1" width="3.33203125" style="192" customWidth="1"/>
    <col min="2" max="2" width="5.66015625" style="163"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row>
    <row r="2" spans="5:98" ht="6" customHeight="1">
      <c r="E2" s="294"/>
      <c r="F2" s="294"/>
      <c r="G2" s="295"/>
      <c r="H2" s="296"/>
      <c r="I2" s="297"/>
      <c r="J2" s="296"/>
      <c r="K2" s="297"/>
      <c r="L2" s="296"/>
      <c r="M2" s="297"/>
      <c r="N2" s="296"/>
      <c r="O2" s="297"/>
      <c r="P2" s="296"/>
      <c r="Q2" s="297"/>
      <c r="R2" s="296"/>
      <c r="S2" s="297"/>
      <c r="T2" s="296"/>
      <c r="U2" s="297"/>
      <c r="V2" s="296"/>
      <c r="W2" s="298"/>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row>
    <row r="3" spans="1:100" s="315" customFormat="1" ht="17.25" customHeight="1">
      <c r="A3" s="247"/>
      <c r="B3" s="247">
        <v>344</v>
      </c>
      <c r="C3" s="299" t="s">
        <v>296</v>
      </c>
      <c r="D3" s="520" t="s">
        <v>651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1"/>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565"/>
      <c r="CP4" s="565"/>
      <c r="CQ4" s="565"/>
      <c r="CR4" s="565"/>
      <c r="CS4" s="565"/>
      <c r="CT4" s="565"/>
    </row>
    <row r="5" spans="2:98" ht="17.25" customHeight="1">
      <c r="B5" s="208">
        <v>23</v>
      </c>
      <c r="C5" s="869" t="s">
        <v>86</v>
      </c>
      <c r="D5" s="869"/>
      <c r="E5" s="870"/>
      <c r="F5" s="870"/>
      <c r="G5" s="870"/>
      <c r="H5" s="871"/>
      <c r="I5" s="871"/>
      <c r="J5" s="871"/>
      <c r="K5" s="871"/>
      <c r="L5" s="871"/>
      <c r="M5" s="871"/>
      <c r="N5" s="871"/>
      <c r="O5" s="871"/>
      <c r="P5" s="871"/>
      <c r="Q5" s="871"/>
      <c r="R5" s="871"/>
      <c r="S5" s="871"/>
      <c r="T5" s="871"/>
      <c r="U5" s="871"/>
      <c r="V5" s="871"/>
      <c r="W5" s="870"/>
      <c r="X5" s="871"/>
      <c r="Y5" s="870"/>
      <c r="Z5" s="871"/>
      <c r="AA5" s="870"/>
      <c r="AB5" s="871"/>
      <c r="AC5" s="870"/>
      <c r="AD5" s="871"/>
      <c r="AE5" s="870"/>
      <c r="AF5" s="871"/>
      <c r="AG5" s="870"/>
      <c r="AH5" s="871"/>
      <c r="AI5" s="871"/>
      <c r="AJ5" s="871"/>
      <c r="AK5" s="870"/>
      <c r="AL5" s="871"/>
      <c r="AM5" s="870"/>
      <c r="AN5" s="317"/>
      <c r="AO5" s="318"/>
      <c r="AP5" s="318"/>
      <c r="AQ5" s="318"/>
      <c r="AR5" s="318"/>
      <c r="AS5" s="318"/>
      <c r="AT5" s="317"/>
      <c r="AU5" s="265"/>
      <c r="AV5" s="318"/>
      <c r="AW5" s="318"/>
      <c r="AZ5" s="319" t="s">
        <v>50</v>
      </c>
      <c r="BA5" s="280"/>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row>
    <row r="6" spans="5:98" ht="14.25" customHeight="1">
      <c r="E6" s="199"/>
      <c r="F6" s="584" t="s">
        <v>490</v>
      </c>
      <c r="Z6" s="534"/>
      <c r="AA6" s="320"/>
      <c r="AB6" s="321"/>
      <c r="AC6" s="322"/>
      <c r="AD6" s="321"/>
      <c r="AE6" s="322"/>
      <c r="AF6" s="321"/>
      <c r="AG6" s="323"/>
      <c r="AH6" s="321"/>
      <c r="AJ6" s="321"/>
      <c r="AK6" s="322"/>
      <c r="AL6" s="321"/>
      <c r="AN6" s="321"/>
      <c r="AO6" s="324"/>
      <c r="AP6" s="324"/>
      <c r="AQ6" s="324"/>
      <c r="AR6" s="324"/>
      <c r="AS6" s="324"/>
      <c r="AT6" s="281"/>
      <c r="AU6" s="325"/>
      <c r="AV6" s="324"/>
      <c r="AW6" s="324"/>
      <c r="AX6" s="550"/>
      <c r="AZ6" s="326" t="s">
        <v>511</v>
      </c>
      <c r="BA6" s="280"/>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row>
    <row r="7" spans="1:98" s="210" customFormat="1" ht="25.5" customHeight="1">
      <c r="A7" s="207"/>
      <c r="B7" s="208">
        <v>2</v>
      </c>
      <c r="C7" s="638" t="s">
        <v>286</v>
      </c>
      <c r="D7" s="638" t="s">
        <v>287</v>
      </c>
      <c r="E7" s="638" t="s">
        <v>290</v>
      </c>
      <c r="F7" s="638">
        <v>2000</v>
      </c>
      <c r="G7" s="638"/>
      <c r="H7" s="638">
        <v>2001</v>
      </c>
      <c r="I7" s="638"/>
      <c r="J7" s="638">
        <v>2002</v>
      </c>
      <c r="K7" s="638"/>
      <c r="L7" s="638">
        <v>2003</v>
      </c>
      <c r="M7" s="638"/>
      <c r="N7" s="638">
        <v>2004</v>
      </c>
      <c r="O7" s="638"/>
      <c r="P7" s="638">
        <v>2005</v>
      </c>
      <c r="Q7" s="638"/>
      <c r="R7" s="638">
        <v>2006</v>
      </c>
      <c r="S7" s="638"/>
      <c r="T7" s="638">
        <v>2007</v>
      </c>
      <c r="U7" s="638"/>
      <c r="V7" s="638">
        <v>2008</v>
      </c>
      <c r="W7" s="638"/>
      <c r="X7" s="638">
        <v>2009</v>
      </c>
      <c r="Y7" s="638"/>
      <c r="Z7" s="638">
        <v>2010</v>
      </c>
      <c r="AA7" s="638"/>
      <c r="AB7" s="638">
        <v>2011</v>
      </c>
      <c r="AC7" s="638"/>
      <c r="AD7" s="638">
        <v>2012</v>
      </c>
      <c r="AE7" s="638"/>
      <c r="AF7" s="638">
        <v>2013</v>
      </c>
      <c r="AG7" s="638"/>
      <c r="AH7" s="638">
        <v>2014</v>
      </c>
      <c r="AI7" s="638"/>
      <c r="AJ7" s="638">
        <v>2015</v>
      </c>
      <c r="AK7" s="638"/>
      <c r="AL7" s="638">
        <v>2016</v>
      </c>
      <c r="AM7" s="638"/>
      <c r="AN7" s="638">
        <v>2017</v>
      </c>
      <c r="AO7" s="638"/>
      <c r="AP7" s="638">
        <v>2018</v>
      </c>
      <c r="AQ7" s="638"/>
      <c r="AR7" s="638">
        <v>2019</v>
      </c>
      <c r="AS7" s="638"/>
      <c r="AT7" s="638">
        <v>2020</v>
      </c>
      <c r="AU7" s="638"/>
      <c r="AV7" s="638">
        <v>2021</v>
      </c>
      <c r="AW7" s="639"/>
      <c r="AX7" s="578"/>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4">
        <v>261</v>
      </c>
      <c r="G8" s="526"/>
      <c r="H8" s="514">
        <v>301</v>
      </c>
      <c r="I8" s="526"/>
      <c r="J8" s="514">
        <v>252</v>
      </c>
      <c r="K8" s="526"/>
      <c r="L8" s="514">
        <v>252</v>
      </c>
      <c r="M8" s="526"/>
      <c r="N8" s="514">
        <v>111</v>
      </c>
      <c r="O8" s="514"/>
      <c r="P8" s="514">
        <v>298</v>
      </c>
      <c r="Q8" s="521"/>
      <c r="R8" s="514">
        <v>320</v>
      </c>
      <c r="S8" s="521"/>
      <c r="T8" s="514">
        <v>187</v>
      </c>
      <c r="U8" s="521"/>
      <c r="V8" s="514">
        <v>332</v>
      </c>
      <c r="W8" s="521"/>
      <c r="X8" s="514">
        <v>220</v>
      </c>
      <c r="Y8" s="521"/>
      <c r="Z8" s="514">
        <v>228</v>
      </c>
      <c r="AA8" s="521"/>
      <c r="AB8" s="514">
        <v>103</v>
      </c>
      <c r="AC8" s="521"/>
      <c r="AD8" s="514">
        <v>217</v>
      </c>
      <c r="AE8" s="521"/>
      <c r="AF8" s="514">
        <v>336</v>
      </c>
      <c r="AG8" s="521"/>
      <c r="AH8" s="514">
        <v>228</v>
      </c>
      <c r="AI8" s="521"/>
      <c r="AJ8" s="514">
        <v>226</v>
      </c>
      <c r="AK8" s="521"/>
      <c r="AL8" s="514"/>
      <c r="AM8" s="521"/>
      <c r="AN8" s="514"/>
      <c r="AO8" s="521"/>
      <c r="AP8" s="514"/>
      <c r="AQ8" s="521"/>
      <c r="AR8" s="514"/>
      <c r="AS8" s="521"/>
      <c r="AT8" s="514"/>
      <c r="AU8" s="521"/>
      <c r="AV8" s="514"/>
      <c r="AW8" s="526"/>
      <c r="AX8" s="578"/>
      <c r="AY8" s="330"/>
      <c r="AZ8" s="690">
        <v>1</v>
      </c>
      <c r="BA8" s="691" t="s">
        <v>118</v>
      </c>
      <c r="BB8" s="690" t="s">
        <v>78</v>
      </c>
      <c r="BC8" s="79" t="s">
        <v>82</v>
      </c>
      <c r="BD8" s="540"/>
      <c r="BE8" s="79" t="str">
        <f>IF(OR(ISBLANK(F8),ISBLANK(H8)),"N/A",IF(ABS((H8-F8)/F8)&gt;0.25,"&gt; 25%","ok"))</f>
        <v>ok</v>
      </c>
      <c r="BF8" s="540"/>
      <c r="BG8" s="79" t="str">
        <f>IF(OR(ISBLANK(H8),ISBLANK(J8)),"N/A",IF(ABS((J8-H8)/H8)&gt;0.25,"&gt; 25%","ok"))</f>
        <v>ok</v>
      </c>
      <c r="BH8" s="79"/>
      <c r="BI8" s="79" t="str">
        <f aca="true" t="shared" si="0" ref="BI8:BI14">IF(OR(ISBLANK(J8),ISBLANK(L8)),"N/A",IF(ABS((L8-J8)/J8)&gt;0.25,"&gt; 25%","ok"))</f>
        <v>ok</v>
      </c>
      <c r="BJ8" s="79"/>
      <c r="BK8" s="79" t="str">
        <f aca="true" t="shared" si="1" ref="BK8:BK14">IF(OR(ISBLANK(L8),ISBLANK(N8)),"N/A",IF(ABS((N8-L8)/L8)&gt;0.25,"&gt; 25%","ok"))</f>
        <v>&gt; 25%</v>
      </c>
      <c r="BL8" s="79"/>
      <c r="BM8" s="79" t="str">
        <f aca="true" t="shared" si="2" ref="BM8:BM14">IF(OR(ISBLANK(N8),ISBLANK(P8)),"N/A",IF(ABS((P8-N8)/N8)&gt;0.25,"&gt; 25%","ok"))</f>
        <v>&gt; 25%</v>
      </c>
      <c r="BN8" s="79"/>
      <c r="BO8" s="79" t="str">
        <f aca="true" t="shared" si="3" ref="BO8:BO14">IF(OR(ISBLANK(P8),ISBLANK(R8)),"N/A",IF(ABS((R8-P8)/P8)&gt;0.25,"&gt; 25%","ok"))</f>
        <v>ok</v>
      </c>
      <c r="BP8" s="79"/>
      <c r="BQ8" s="79" t="str">
        <f aca="true" t="shared" si="4" ref="BQ8:BQ14">IF(OR(ISBLANK(R8),ISBLANK(T8)),"N/A",IF(ABS((T8-R8)/R8)&gt;0.25,"&gt; 25%","ok"))</f>
        <v>&gt; 25%</v>
      </c>
      <c r="BR8" s="79"/>
      <c r="BS8" s="79" t="str">
        <f aca="true" t="shared" si="5" ref="BS8:BS14">IF(OR(ISBLANK(T8),ISBLANK(V8)),"N/A",IF(ABS((V8-T8)/T8)&gt;0.25,"&gt; 25%","ok"))</f>
        <v>&gt; 25%</v>
      </c>
      <c r="BT8" s="79"/>
      <c r="BU8" s="79" t="str">
        <f aca="true" t="shared" si="6" ref="BU8:BU14">IF(OR(ISBLANK(V8),ISBLANK(X8)),"N/A",IF(ABS((X8-V8)/V8)&gt;0.25,"&gt; 25%","ok"))</f>
        <v>&gt; 25%</v>
      </c>
      <c r="BV8" s="79"/>
      <c r="BW8" s="79" t="str">
        <f aca="true" t="shared" si="7" ref="BW8:BW14">IF(OR(ISBLANK(X8),ISBLANK(Z8)),"N/A",IF(ABS((Z8-X8)/X8)&gt;0.25,"&gt; 25%","ok"))</f>
        <v>ok</v>
      </c>
      <c r="BX8" s="79"/>
      <c r="BY8" s="79" t="str">
        <f aca="true" t="shared" si="8" ref="BY8:BY14">IF(OR(ISBLANK(Z8),ISBLANK(AB8)),"N/A",IF(ABS((AB8-Z8)/Z8)&gt;0.25,"&gt; 25%","ok"))</f>
        <v>&gt; 25%</v>
      </c>
      <c r="BZ8" s="79"/>
      <c r="CA8" s="79" t="str">
        <f aca="true" t="shared" si="9" ref="CA8:CA14">IF(OR(ISBLANK(AB8),ISBLANK(AD8)),"N/A",IF(ABS((AD8-AB8)/AB8)&gt;0.25,"&gt; 25%","ok"))</f>
        <v>&gt; 25%</v>
      </c>
      <c r="CB8" s="79"/>
      <c r="CC8" s="79" t="str">
        <f aca="true" t="shared" si="10" ref="CC8:CC14">IF(OR(ISBLANK(AD8),ISBLANK(AF8)),"N/A",IF(ABS((AF8-AD8)/AD8)&gt;0.25,"&gt; 25%","ok"))</f>
        <v>&gt; 25%</v>
      </c>
      <c r="CD8" s="79"/>
      <c r="CE8" s="79" t="str">
        <f aca="true" t="shared" si="11" ref="CE8:CE14">IF(OR(ISBLANK(AF8),ISBLANK(AH8)),"N/A",IF(ABS((AH8-AF8)/AF8)&gt;0.25,"&gt; 25%","ok"))</f>
        <v>&gt; 25%</v>
      </c>
      <c r="CF8" s="79"/>
      <c r="CG8" s="79" t="str">
        <f aca="true" t="shared" si="12" ref="CG8:CG14">IF(OR(ISBLANK(AH8),ISBLANK(AJ8)),"N/A",IF(ABS((AJ8-AH8)/AH8)&gt;0.25,"&gt; 25%","ok"))</f>
        <v>ok</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4">
        <v>0</v>
      </c>
      <c r="G9" s="526"/>
      <c r="H9" s="514">
        <v>0</v>
      </c>
      <c r="I9" s="526"/>
      <c r="J9" s="514">
        <v>0</v>
      </c>
      <c r="K9" s="526"/>
      <c r="L9" s="514">
        <v>0</v>
      </c>
      <c r="M9" s="526"/>
      <c r="N9" s="514">
        <v>0</v>
      </c>
      <c r="O9" s="514"/>
      <c r="P9" s="514">
        <v>0</v>
      </c>
      <c r="Q9" s="521"/>
      <c r="R9" s="514">
        <v>0</v>
      </c>
      <c r="S9" s="521"/>
      <c r="T9" s="514">
        <v>0</v>
      </c>
      <c r="U9" s="521"/>
      <c r="V9" s="514">
        <v>0</v>
      </c>
      <c r="W9" s="521"/>
      <c r="X9" s="514">
        <v>0</v>
      </c>
      <c r="Y9" s="521"/>
      <c r="Z9" s="514">
        <v>0</v>
      </c>
      <c r="AA9" s="521"/>
      <c r="AB9" s="514">
        <v>0</v>
      </c>
      <c r="AC9" s="521"/>
      <c r="AD9" s="514">
        <v>0</v>
      </c>
      <c r="AE9" s="521"/>
      <c r="AF9" s="514">
        <v>0</v>
      </c>
      <c r="AG9" s="521"/>
      <c r="AH9" s="514">
        <v>0</v>
      </c>
      <c r="AI9" s="521"/>
      <c r="AJ9" s="514">
        <v>0</v>
      </c>
      <c r="AK9" s="521"/>
      <c r="AL9" s="514"/>
      <c r="AM9" s="521"/>
      <c r="AN9" s="514"/>
      <c r="AO9" s="521"/>
      <c r="AP9" s="514"/>
      <c r="AQ9" s="521"/>
      <c r="AR9" s="514"/>
      <c r="AS9" s="521"/>
      <c r="AT9" s="514"/>
      <c r="AU9" s="521"/>
      <c r="AV9" s="514"/>
      <c r="AW9" s="526"/>
      <c r="AX9" s="578"/>
      <c r="AY9" s="331"/>
      <c r="AZ9" s="692">
        <v>2</v>
      </c>
      <c r="BA9" s="691" t="s">
        <v>119</v>
      </c>
      <c r="BB9" s="692" t="s">
        <v>78</v>
      </c>
      <c r="BC9" s="79" t="s">
        <v>82</v>
      </c>
      <c r="BD9" s="540"/>
      <c r="BE9" s="79" t="e">
        <f>IF(OR(ISBLANK(F9),ISBLANK(H9)),"N/A",IF(ABS((H9-F9)/F9)&gt;0.25,"&gt; 25%","ok"))</f>
        <v>#DIV/0!</v>
      </c>
      <c r="BF9" s="540"/>
      <c r="BG9" s="79" t="e">
        <f aca="true" t="shared" si="13" ref="BG9:BG40">IF(OR(ISBLANK(H9),ISBLANK(J9)),"N/A",IF(ABS((J9-H9)/H9)&gt;0.25,"&gt; 25%","ok"))</f>
        <v>#DIV/0!</v>
      </c>
      <c r="BH9" s="79"/>
      <c r="BI9" s="79" t="e">
        <f t="shared" si="0"/>
        <v>#DIV/0!</v>
      </c>
      <c r="BJ9" s="79"/>
      <c r="BK9" s="79" t="e">
        <f t="shared" si="1"/>
        <v>#DIV/0!</v>
      </c>
      <c r="BL9" s="79"/>
      <c r="BM9" s="79" t="e">
        <f t="shared" si="2"/>
        <v>#DIV/0!</v>
      </c>
      <c r="BN9" s="79"/>
      <c r="BO9" s="79" t="e">
        <f t="shared" si="3"/>
        <v>#DIV/0!</v>
      </c>
      <c r="BP9" s="79"/>
      <c r="BQ9" s="79" t="e">
        <f t="shared" si="4"/>
        <v>#DIV/0!</v>
      </c>
      <c r="BR9" s="79"/>
      <c r="BS9" s="79" t="e">
        <f t="shared" si="5"/>
        <v>#DIV/0!</v>
      </c>
      <c r="BT9" s="79"/>
      <c r="BU9" s="79" t="e">
        <f t="shared" si="6"/>
        <v>#DIV/0!</v>
      </c>
      <c r="BV9" s="79"/>
      <c r="BW9" s="79" t="e">
        <f t="shared" si="7"/>
        <v>#DIV/0!</v>
      </c>
      <c r="BX9" s="79"/>
      <c r="BY9" s="79" t="e">
        <f t="shared" si="8"/>
        <v>#DIV/0!</v>
      </c>
      <c r="BZ9" s="79"/>
      <c r="CA9" s="79" t="e">
        <f t="shared" si="9"/>
        <v>#DIV/0!</v>
      </c>
      <c r="CB9" s="79"/>
      <c r="CC9" s="79" t="e">
        <f t="shared" si="10"/>
        <v>#DIV/0!</v>
      </c>
      <c r="CD9" s="79"/>
      <c r="CE9" s="79" t="e">
        <f t="shared" si="11"/>
        <v>#DIV/0!</v>
      </c>
      <c r="CF9" s="79"/>
      <c r="CG9" s="79" t="e">
        <f t="shared" si="12"/>
        <v>#DIV/0!</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1">
        <v>5001</v>
      </c>
      <c r="C10" s="622">
        <v>3</v>
      </c>
      <c r="D10" s="623" t="s">
        <v>617</v>
      </c>
      <c r="E10" s="218" t="s">
        <v>298</v>
      </c>
      <c r="F10" s="535">
        <v>261</v>
      </c>
      <c r="G10" s="522"/>
      <c r="H10" s="535">
        <v>301</v>
      </c>
      <c r="I10" s="522"/>
      <c r="J10" s="535">
        <v>252</v>
      </c>
      <c r="K10" s="522"/>
      <c r="L10" s="535">
        <v>252</v>
      </c>
      <c r="M10" s="522"/>
      <c r="N10" s="536">
        <v>111</v>
      </c>
      <c r="O10" s="630"/>
      <c r="P10" s="536">
        <v>298</v>
      </c>
      <c r="Q10" s="526"/>
      <c r="R10" s="536">
        <v>320</v>
      </c>
      <c r="S10" s="526"/>
      <c r="T10" s="536">
        <v>187</v>
      </c>
      <c r="U10" s="526"/>
      <c r="V10" s="536">
        <v>332</v>
      </c>
      <c r="W10" s="526"/>
      <c r="X10" s="536">
        <v>220</v>
      </c>
      <c r="Y10" s="526"/>
      <c r="Z10" s="536">
        <v>228</v>
      </c>
      <c r="AA10" s="526"/>
      <c r="AB10" s="536">
        <v>103</v>
      </c>
      <c r="AC10" s="526"/>
      <c r="AD10" s="536">
        <v>217</v>
      </c>
      <c r="AE10" s="526"/>
      <c r="AF10" s="536">
        <v>336</v>
      </c>
      <c r="AG10" s="526"/>
      <c r="AH10" s="536">
        <v>228</v>
      </c>
      <c r="AI10" s="526"/>
      <c r="AJ10" s="536">
        <v>226</v>
      </c>
      <c r="AK10" s="526"/>
      <c r="AL10" s="536"/>
      <c r="AM10" s="526"/>
      <c r="AN10" s="536"/>
      <c r="AO10" s="526"/>
      <c r="AP10" s="536"/>
      <c r="AQ10" s="526"/>
      <c r="AR10" s="536"/>
      <c r="AS10" s="526"/>
      <c r="AT10" s="536"/>
      <c r="AU10" s="526"/>
      <c r="AV10" s="536"/>
      <c r="AW10" s="522"/>
      <c r="AX10" s="579"/>
      <c r="AY10" s="336"/>
      <c r="AZ10" s="693">
        <v>3</v>
      </c>
      <c r="BA10" s="694" t="s">
        <v>120</v>
      </c>
      <c r="BB10" s="692" t="s">
        <v>78</v>
      </c>
      <c r="BC10" s="103" t="s">
        <v>82</v>
      </c>
      <c r="BD10" s="544"/>
      <c r="BE10" s="79" t="str">
        <f>IF(OR(ISBLANK(F10),ISBLANK(H10)),"N/A",IF(ABS((H10-F10)/F10)&gt;0.25,"&gt; 25%","ok"))</f>
        <v>ok</v>
      </c>
      <c r="BF10" s="540"/>
      <c r="BG10" s="79" t="str">
        <f t="shared" si="13"/>
        <v>ok</v>
      </c>
      <c r="BH10" s="79"/>
      <c r="BI10" s="79" t="str">
        <f t="shared" si="0"/>
        <v>ok</v>
      </c>
      <c r="BJ10" s="79"/>
      <c r="BK10" s="79" t="str">
        <f t="shared" si="1"/>
        <v>&gt; 25%</v>
      </c>
      <c r="BL10" s="79"/>
      <c r="BM10" s="79" t="str">
        <f t="shared" si="2"/>
        <v>&gt; 25%</v>
      </c>
      <c r="BN10" s="79"/>
      <c r="BO10" s="79" t="str">
        <f t="shared" si="3"/>
        <v>ok</v>
      </c>
      <c r="BP10" s="79"/>
      <c r="BQ10" s="79" t="str">
        <f t="shared" si="4"/>
        <v>&gt; 25%</v>
      </c>
      <c r="BR10" s="79"/>
      <c r="BS10" s="79" t="str">
        <f t="shared" si="5"/>
        <v>&gt; 25%</v>
      </c>
      <c r="BT10" s="79"/>
      <c r="BU10" s="79" t="str">
        <f t="shared" si="6"/>
        <v>&gt; 25%</v>
      </c>
      <c r="BV10" s="79"/>
      <c r="BW10" s="79" t="str">
        <f t="shared" si="7"/>
        <v>ok</v>
      </c>
      <c r="BX10" s="79"/>
      <c r="BY10" s="79" t="str">
        <f t="shared" si="8"/>
        <v>&gt; 25%</v>
      </c>
      <c r="BZ10" s="79"/>
      <c r="CA10" s="79" t="str">
        <f t="shared" si="9"/>
        <v>&gt; 25%</v>
      </c>
      <c r="CB10" s="79"/>
      <c r="CC10" s="79" t="str">
        <f t="shared" si="10"/>
        <v>&gt; 25%</v>
      </c>
      <c r="CD10" s="79"/>
      <c r="CE10" s="79" t="str">
        <f t="shared" si="11"/>
        <v>&gt; 25%</v>
      </c>
      <c r="CF10" s="79"/>
      <c r="CG10" s="79" t="str">
        <f t="shared" si="12"/>
        <v>ok</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1">
        <v>30</v>
      </c>
      <c r="C11" s="624">
        <v>4</v>
      </c>
      <c r="D11" s="625" t="s">
        <v>598</v>
      </c>
      <c r="E11" s="226" t="s">
        <v>298</v>
      </c>
      <c r="F11" s="513"/>
      <c r="G11" s="521"/>
      <c r="H11" s="513"/>
      <c r="I11" s="521"/>
      <c r="J11" s="513"/>
      <c r="K11" s="521"/>
      <c r="L11" s="513"/>
      <c r="M11" s="521"/>
      <c r="N11" s="513"/>
      <c r="O11" s="521"/>
      <c r="P11" s="513"/>
      <c r="Q11" s="521"/>
      <c r="R11" s="513"/>
      <c r="S11" s="521"/>
      <c r="T11" s="513"/>
      <c r="U11" s="521"/>
      <c r="V11" s="513"/>
      <c r="W11" s="521"/>
      <c r="X11" s="513"/>
      <c r="Y11" s="521"/>
      <c r="Z11" s="513"/>
      <c r="AA11" s="521"/>
      <c r="AB11" s="513"/>
      <c r="AC11" s="521"/>
      <c r="AD11" s="513"/>
      <c r="AE11" s="521"/>
      <c r="AF11" s="513"/>
      <c r="AG11" s="521"/>
      <c r="AH11" s="513"/>
      <c r="AI11" s="521"/>
      <c r="AJ11" s="513"/>
      <c r="AK11" s="521"/>
      <c r="AL11" s="513"/>
      <c r="AM11" s="521"/>
      <c r="AN11" s="513"/>
      <c r="AO11" s="521"/>
      <c r="AP11" s="513"/>
      <c r="AQ11" s="521"/>
      <c r="AR11" s="513"/>
      <c r="AS11" s="521"/>
      <c r="AT11" s="513"/>
      <c r="AU11" s="521"/>
      <c r="AV11" s="513"/>
      <c r="AW11" s="521"/>
      <c r="AX11" s="579"/>
      <c r="AY11" s="336"/>
      <c r="AZ11" s="693">
        <v>4</v>
      </c>
      <c r="BA11" s="694" t="s">
        <v>598</v>
      </c>
      <c r="BB11" s="692" t="s">
        <v>78</v>
      </c>
      <c r="BC11" s="103" t="s">
        <v>82</v>
      </c>
      <c r="BD11" s="544"/>
      <c r="BE11" s="79" t="str">
        <f>IF(OR(ISBLANK(F11),ISBLANK(H11)),"N/A",IF(ABS((H11-F11)/F11)&gt;0.25,"&gt; 25%","ok"))</f>
        <v>N/A</v>
      </c>
      <c r="BF11" s="540"/>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1">
        <v>31</v>
      </c>
      <c r="C12" s="622">
        <v>5</v>
      </c>
      <c r="D12" s="623" t="s">
        <v>599</v>
      </c>
      <c r="E12" s="226" t="s">
        <v>298</v>
      </c>
      <c r="F12" s="513"/>
      <c r="G12" s="521"/>
      <c r="H12" s="513"/>
      <c r="I12" s="521"/>
      <c r="J12" s="513"/>
      <c r="K12" s="521"/>
      <c r="L12" s="513"/>
      <c r="M12" s="521"/>
      <c r="N12" s="513"/>
      <c r="O12" s="521"/>
      <c r="P12" s="513"/>
      <c r="Q12" s="521"/>
      <c r="R12" s="513"/>
      <c r="S12" s="521"/>
      <c r="T12" s="513"/>
      <c r="U12" s="521"/>
      <c r="V12" s="513"/>
      <c r="W12" s="521"/>
      <c r="X12" s="513"/>
      <c r="Y12" s="521"/>
      <c r="Z12" s="513"/>
      <c r="AA12" s="521"/>
      <c r="AB12" s="513"/>
      <c r="AC12" s="521"/>
      <c r="AD12" s="513"/>
      <c r="AE12" s="521"/>
      <c r="AF12" s="513"/>
      <c r="AG12" s="521"/>
      <c r="AH12" s="513"/>
      <c r="AI12" s="521"/>
      <c r="AJ12" s="513"/>
      <c r="AK12" s="521"/>
      <c r="AL12" s="513"/>
      <c r="AM12" s="521"/>
      <c r="AN12" s="513"/>
      <c r="AO12" s="521"/>
      <c r="AP12" s="513"/>
      <c r="AQ12" s="521"/>
      <c r="AR12" s="513"/>
      <c r="AS12" s="521"/>
      <c r="AT12" s="513"/>
      <c r="AU12" s="521"/>
      <c r="AV12" s="513"/>
      <c r="AW12" s="521"/>
      <c r="AX12" s="579"/>
      <c r="AY12" s="336"/>
      <c r="AZ12" s="693">
        <v>5</v>
      </c>
      <c r="BA12" s="694" t="s">
        <v>599</v>
      </c>
      <c r="BB12" s="692" t="s">
        <v>78</v>
      </c>
      <c r="BC12" s="103" t="s">
        <v>82</v>
      </c>
      <c r="BD12" s="544"/>
      <c r="BE12" s="79" t="str">
        <f>IF(OR(ISBLANK(F12),ISBLANK(H12)),"N/A",IF(ABS((H12-F12)/F12)&gt;0.25,"&gt; 25%","ok"))</f>
        <v>N/A</v>
      </c>
      <c r="BF12" s="540"/>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08">
        <v>5002</v>
      </c>
      <c r="C13" s="531"/>
      <c r="D13" s="530" t="s">
        <v>437</v>
      </c>
      <c r="E13" s="531"/>
      <c r="F13" s="532"/>
      <c r="G13" s="533"/>
      <c r="H13" s="532"/>
      <c r="I13" s="533"/>
      <c r="J13" s="532"/>
      <c r="K13" s="533"/>
      <c r="L13" s="532"/>
      <c r="M13" s="533"/>
      <c r="N13" s="532"/>
      <c r="O13" s="533"/>
      <c r="P13" s="532"/>
      <c r="Q13" s="533"/>
      <c r="R13" s="532"/>
      <c r="S13" s="533"/>
      <c r="T13" s="532"/>
      <c r="U13" s="533"/>
      <c r="V13" s="532"/>
      <c r="W13" s="533"/>
      <c r="X13" s="532"/>
      <c r="Y13" s="533"/>
      <c r="Z13" s="532"/>
      <c r="AA13" s="533"/>
      <c r="AB13" s="532"/>
      <c r="AC13" s="533"/>
      <c r="AD13" s="532"/>
      <c r="AE13" s="533"/>
      <c r="AF13" s="532"/>
      <c r="AG13" s="533"/>
      <c r="AH13" s="532"/>
      <c r="AI13" s="533"/>
      <c r="AJ13" s="532"/>
      <c r="AK13" s="533"/>
      <c r="AL13" s="532"/>
      <c r="AM13" s="533"/>
      <c r="AN13" s="532"/>
      <c r="AO13" s="533"/>
      <c r="AP13" s="532"/>
      <c r="AQ13" s="533"/>
      <c r="AR13" s="532"/>
      <c r="AS13" s="533"/>
      <c r="AT13" s="532"/>
      <c r="AU13" s="533"/>
      <c r="AV13" s="532"/>
      <c r="AW13" s="533"/>
      <c r="AX13" s="446"/>
      <c r="AY13" s="195"/>
      <c r="AZ13" s="692"/>
      <c r="BA13" s="695" t="s">
        <v>437</v>
      </c>
      <c r="BB13" s="692"/>
      <c r="BC13" s="79"/>
      <c r="BD13" s="540"/>
      <c r="BE13" s="79"/>
      <c r="BF13" s="540"/>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08">
        <v>255</v>
      </c>
      <c r="C14" s="624">
        <v>6</v>
      </c>
      <c r="D14" s="339" t="s">
        <v>127</v>
      </c>
      <c r="E14" s="226" t="s">
        <v>298</v>
      </c>
      <c r="F14" s="514"/>
      <c r="G14" s="526"/>
      <c r="H14" s="514"/>
      <c r="I14" s="526"/>
      <c r="J14" s="514"/>
      <c r="K14" s="526"/>
      <c r="L14" s="514"/>
      <c r="M14" s="526"/>
      <c r="N14" s="514"/>
      <c r="O14" s="526"/>
      <c r="P14" s="514"/>
      <c r="Q14" s="526"/>
      <c r="R14" s="514"/>
      <c r="S14" s="526"/>
      <c r="T14" s="514"/>
      <c r="U14" s="526"/>
      <c r="V14" s="514"/>
      <c r="W14" s="526"/>
      <c r="X14" s="514"/>
      <c r="Y14" s="526"/>
      <c r="Z14" s="514"/>
      <c r="AA14" s="526"/>
      <c r="AB14" s="514"/>
      <c r="AC14" s="526"/>
      <c r="AD14" s="514"/>
      <c r="AE14" s="526"/>
      <c r="AF14" s="514"/>
      <c r="AG14" s="526"/>
      <c r="AH14" s="514"/>
      <c r="AI14" s="526"/>
      <c r="AJ14" s="514"/>
      <c r="AK14" s="526"/>
      <c r="AL14" s="514"/>
      <c r="AM14" s="526"/>
      <c r="AN14" s="514"/>
      <c r="AO14" s="526"/>
      <c r="AP14" s="514"/>
      <c r="AQ14" s="526"/>
      <c r="AR14" s="514"/>
      <c r="AS14" s="526"/>
      <c r="AT14" s="514"/>
      <c r="AU14" s="526"/>
      <c r="AV14" s="514"/>
      <c r="AW14" s="526"/>
      <c r="AX14" s="446"/>
      <c r="AY14" s="195"/>
      <c r="AZ14" s="692">
        <v>6</v>
      </c>
      <c r="BA14" s="696" t="s">
        <v>127</v>
      </c>
      <c r="BB14" s="692" t="s">
        <v>78</v>
      </c>
      <c r="BC14" s="79" t="s">
        <v>82</v>
      </c>
      <c r="BD14" s="540"/>
      <c r="BE14" s="79" t="str">
        <f aca="true" t="shared" si="14" ref="BE14:BE40">IF(OR(ISBLANK(F14),ISBLANK(H14)),"N/A",IF(ABS((H14-F14)/F14)&gt;0.25,"&gt; 25%","ok"))</f>
        <v>N/A</v>
      </c>
      <c r="BF14" s="540"/>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08">
        <v>256</v>
      </c>
      <c r="C15" s="624">
        <v>7</v>
      </c>
      <c r="D15" s="339" t="s">
        <v>382</v>
      </c>
      <c r="E15" s="226" t="s">
        <v>298</v>
      </c>
      <c r="F15" s="514"/>
      <c r="G15" s="526"/>
      <c r="H15" s="514"/>
      <c r="I15" s="526"/>
      <c r="J15" s="514"/>
      <c r="K15" s="526"/>
      <c r="L15" s="514"/>
      <c r="M15" s="526"/>
      <c r="N15" s="514"/>
      <c r="O15" s="526"/>
      <c r="P15" s="514"/>
      <c r="Q15" s="526"/>
      <c r="R15" s="514"/>
      <c r="S15" s="526"/>
      <c r="T15" s="514"/>
      <c r="U15" s="526"/>
      <c r="V15" s="514"/>
      <c r="W15" s="526"/>
      <c r="X15" s="514"/>
      <c r="Y15" s="526"/>
      <c r="Z15" s="514"/>
      <c r="AA15" s="526"/>
      <c r="AB15" s="514"/>
      <c r="AC15" s="526"/>
      <c r="AD15" s="514"/>
      <c r="AE15" s="526"/>
      <c r="AF15" s="514"/>
      <c r="AG15" s="526"/>
      <c r="AH15" s="514"/>
      <c r="AI15" s="526"/>
      <c r="AJ15" s="514"/>
      <c r="AK15" s="526"/>
      <c r="AL15" s="514"/>
      <c r="AM15" s="526"/>
      <c r="AN15" s="514"/>
      <c r="AO15" s="526"/>
      <c r="AP15" s="514"/>
      <c r="AQ15" s="526"/>
      <c r="AR15" s="514"/>
      <c r="AS15" s="526"/>
      <c r="AT15" s="514"/>
      <c r="AU15" s="526"/>
      <c r="AV15" s="514"/>
      <c r="AW15" s="526"/>
      <c r="AX15" s="446"/>
      <c r="AY15" s="195"/>
      <c r="AZ15" s="692">
        <v>7</v>
      </c>
      <c r="BA15" s="696" t="s">
        <v>382</v>
      </c>
      <c r="BB15" s="692" t="s">
        <v>78</v>
      </c>
      <c r="BC15" s="79" t="s">
        <v>82</v>
      </c>
      <c r="BD15" s="540"/>
      <c r="BE15" s="79" t="str">
        <f t="shared" si="14"/>
        <v>N/A</v>
      </c>
      <c r="BF15" s="540"/>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08">
        <v>257</v>
      </c>
      <c r="C16" s="624">
        <v>8</v>
      </c>
      <c r="D16" s="339" t="s">
        <v>117</v>
      </c>
      <c r="E16" s="226" t="s">
        <v>298</v>
      </c>
      <c r="F16" s="514"/>
      <c r="G16" s="526"/>
      <c r="H16" s="514"/>
      <c r="I16" s="526"/>
      <c r="J16" s="514"/>
      <c r="K16" s="526"/>
      <c r="L16" s="514"/>
      <c r="M16" s="526"/>
      <c r="N16" s="514"/>
      <c r="O16" s="526"/>
      <c r="P16" s="514"/>
      <c r="Q16" s="526"/>
      <c r="R16" s="514"/>
      <c r="S16" s="526"/>
      <c r="T16" s="514"/>
      <c r="U16" s="526"/>
      <c r="V16" s="514"/>
      <c r="W16" s="526"/>
      <c r="X16" s="514"/>
      <c r="Y16" s="526"/>
      <c r="Z16" s="514"/>
      <c r="AA16" s="526"/>
      <c r="AB16" s="514"/>
      <c r="AC16" s="526"/>
      <c r="AD16" s="514"/>
      <c r="AE16" s="526"/>
      <c r="AF16" s="514"/>
      <c r="AG16" s="526"/>
      <c r="AH16" s="514"/>
      <c r="AI16" s="526"/>
      <c r="AJ16" s="514"/>
      <c r="AK16" s="526"/>
      <c r="AL16" s="514"/>
      <c r="AM16" s="526"/>
      <c r="AN16" s="514"/>
      <c r="AO16" s="526"/>
      <c r="AP16" s="514"/>
      <c r="AQ16" s="526"/>
      <c r="AR16" s="514"/>
      <c r="AS16" s="526"/>
      <c r="AT16" s="514"/>
      <c r="AU16" s="526"/>
      <c r="AV16" s="514"/>
      <c r="AW16" s="526"/>
      <c r="AX16" s="446"/>
      <c r="AY16" s="195"/>
      <c r="AZ16" s="692">
        <v>8</v>
      </c>
      <c r="BA16" s="696" t="s">
        <v>117</v>
      </c>
      <c r="BB16" s="692" t="s">
        <v>78</v>
      </c>
      <c r="BC16" s="79" t="s">
        <v>82</v>
      </c>
      <c r="BD16" s="540"/>
      <c r="BE16" s="79" t="str">
        <f t="shared" si="14"/>
        <v>N/A</v>
      </c>
      <c r="BF16" s="540"/>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08">
        <v>263</v>
      </c>
      <c r="C17" s="624">
        <v>9</v>
      </c>
      <c r="D17" s="572" t="s">
        <v>587</v>
      </c>
      <c r="E17" s="226" t="s">
        <v>298</v>
      </c>
      <c r="F17" s="514"/>
      <c r="G17" s="526"/>
      <c r="H17" s="514"/>
      <c r="I17" s="526"/>
      <c r="J17" s="514"/>
      <c r="K17" s="526"/>
      <c r="L17" s="514"/>
      <c r="M17" s="526"/>
      <c r="N17" s="514"/>
      <c r="O17" s="526"/>
      <c r="P17" s="514"/>
      <c r="Q17" s="526"/>
      <c r="R17" s="514"/>
      <c r="S17" s="526"/>
      <c r="T17" s="514"/>
      <c r="U17" s="526"/>
      <c r="V17" s="514"/>
      <c r="W17" s="526"/>
      <c r="X17" s="514"/>
      <c r="Y17" s="526"/>
      <c r="Z17" s="514"/>
      <c r="AA17" s="526"/>
      <c r="AB17" s="514"/>
      <c r="AC17" s="526"/>
      <c r="AD17" s="514"/>
      <c r="AE17" s="526"/>
      <c r="AF17" s="514"/>
      <c r="AG17" s="526"/>
      <c r="AH17" s="514"/>
      <c r="AI17" s="526"/>
      <c r="AJ17" s="514"/>
      <c r="AK17" s="526"/>
      <c r="AL17" s="514"/>
      <c r="AM17" s="526"/>
      <c r="AN17" s="514"/>
      <c r="AO17" s="526"/>
      <c r="AP17" s="514"/>
      <c r="AQ17" s="526"/>
      <c r="AR17" s="514"/>
      <c r="AS17" s="526"/>
      <c r="AT17" s="514"/>
      <c r="AU17" s="526"/>
      <c r="AV17" s="514"/>
      <c r="AW17" s="526"/>
      <c r="AX17" s="446"/>
      <c r="AY17" s="195"/>
      <c r="AZ17" s="692">
        <v>9</v>
      </c>
      <c r="BA17" s="697" t="s">
        <v>564</v>
      </c>
      <c r="BB17" s="692" t="s">
        <v>78</v>
      </c>
      <c r="BC17" s="79"/>
      <c r="BD17" s="540"/>
      <c r="BE17" s="79" t="str">
        <f t="shared" si="14"/>
        <v>N/A</v>
      </c>
      <c r="BF17" s="540"/>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08">
        <v>264</v>
      </c>
      <c r="C18" s="624">
        <v>10</v>
      </c>
      <c r="D18" s="339" t="s">
        <v>518</v>
      </c>
      <c r="E18" s="226" t="s">
        <v>298</v>
      </c>
      <c r="F18" s="514"/>
      <c r="G18" s="526"/>
      <c r="H18" s="514"/>
      <c r="I18" s="526"/>
      <c r="J18" s="514"/>
      <c r="K18" s="526"/>
      <c r="L18" s="514"/>
      <c r="M18" s="526"/>
      <c r="N18" s="514"/>
      <c r="O18" s="526"/>
      <c r="P18" s="514"/>
      <c r="Q18" s="526"/>
      <c r="R18" s="514"/>
      <c r="S18" s="526"/>
      <c r="T18" s="514"/>
      <c r="U18" s="526"/>
      <c r="V18" s="514"/>
      <c r="W18" s="526"/>
      <c r="X18" s="514"/>
      <c r="Y18" s="526"/>
      <c r="Z18" s="514"/>
      <c r="AA18" s="522"/>
      <c r="AB18" s="514"/>
      <c r="AC18" s="526"/>
      <c r="AD18" s="514"/>
      <c r="AE18" s="526"/>
      <c r="AF18" s="514"/>
      <c r="AG18" s="526"/>
      <c r="AH18" s="514"/>
      <c r="AI18" s="526"/>
      <c r="AJ18" s="514"/>
      <c r="AK18" s="526"/>
      <c r="AL18" s="514"/>
      <c r="AM18" s="526"/>
      <c r="AN18" s="514"/>
      <c r="AO18" s="526"/>
      <c r="AP18" s="514"/>
      <c r="AQ18" s="526"/>
      <c r="AR18" s="514"/>
      <c r="AS18" s="526"/>
      <c r="AT18" s="514"/>
      <c r="AU18" s="526"/>
      <c r="AV18" s="514"/>
      <c r="AW18" s="526"/>
      <c r="AX18" s="446"/>
      <c r="AY18" s="195"/>
      <c r="AZ18" s="692">
        <v>10</v>
      </c>
      <c r="BA18" s="696" t="s">
        <v>518</v>
      </c>
      <c r="BB18" s="692" t="s">
        <v>78</v>
      </c>
      <c r="BC18" s="79"/>
      <c r="BD18" s="540"/>
      <c r="BE18" s="79" t="str">
        <f t="shared" si="14"/>
        <v>N/A</v>
      </c>
      <c r="BF18" s="540"/>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08">
        <v>258</v>
      </c>
      <c r="C19" s="624">
        <v>11</v>
      </c>
      <c r="D19" s="339" t="s">
        <v>487</v>
      </c>
      <c r="E19" s="226" t="s">
        <v>298</v>
      </c>
      <c r="F19" s="514"/>
      <c r="G19" s="526"/>
      <c r="H19" s="514"/>
      <c r="I19" s="526"/>
      <c r="J19" s="514"/>
      <c r="K19" s="526"/>
      <c r="L19" s="514"/>
      <c r="M19" s="526"/>
      <c r="N19" s="514"/>
      <c r="O19" s="526"/>
      <c r="P19" s="514"/>
      <c r="Q19" s="526"/>
      <c r="R19" s="514"/>
      <c r="S19" s="526"/>
      <c r="T19" s="514"/>
      <c r="U19" s="526"/>
      <c r="V19" s="514"/>
      <c r="W19" s="526"/>
      <c r="X19" s="514"/>
      <c r="Y19" s="526"/>
      <c r="Z19" s="514"/>
      <c r="AA19" s="521"/>
      <c r="AB19" s="514"/>
      <c r="AC19" s="526"/>
      <c r="AD19" s="514"/>
      <c r="AE19" s="526"/>
      <c r="AF19" s="514"/>
      <c r="AG19" s="526"/>
      <c r="AH19" s="514"/>
      <c r="AI19" s="526"/>
      <c r="AJ19" s="514"/>
      <c r="AK19" s="526"/>
      <c r="AL19" s="514"/>
      <c r="AM19" s="526"/>
      <c r="AN19" s="514"/>
      <c r="AO19" s="526"/>
      <c r="AP19" s="514"/>
      <c r="AQ19" s="526"/>
      <c r="AR19" s="514"/>
      <c r="AS19" s="526"/>
      <c r="AT19" s="514"/>
      <c r="AU19" s="526"/>
      <c r="AV19" s="514"/>
      <c r="AW19" s="526"/>
      <c r="AX19" s="446"/>
      <c r="AY19" s="195"/>
      <c r="AZ19" s="692">
        <v>11</v>
      </c>
      <c r="BA19" s="696" t="s">
        <v>487</v>
      </c>
      <c r="BB19" s="692" t="s">
        <v>78</v>
      </c>
      <c r="BC19" s="79" t="s">
        <v>82</v>
      </c>
      <c r="BD19" s="540"/>
      <c r="BE19" s="79" t="str">
        <f t="shared" si="14"/>
        <v>N/A</v>
      </c>
      <c r="BF19" s="540"/>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08">
        <v>265</v>
      </c>
      <c r="C20" s="624">
        <v>12</v>
      </c>
      <c r="D20" s="573" t="s">
        <v>515</v>
      </c>
      <c r="E20" s="226" t="s">
        <v>298</v>
      </c>
      <c r="F20" s="514"/>
      <c r="G20" s="526"/>
      <c r="H20" s="514"/>
      <c r="I20" s="526"/>
      <c r="J20" s="514"/>
      <c r="K20" s="526"/>
      <c r="L20" s="514"/>
      <c r="M20" s="526"/>
      <c r="N20" s="514"/>
      <c r="O20" s="526"/>
      <c r="P20" s="514"/>
      <c r="Q20" s="526"/>
      <c r="R20" s="514"/>
      <c r="S20" s="526"/>
      <c r="T20" s="514"/>
      <c r="U20" s="526"/>
      <c r="V20" s="514"/>
      <c r="W20" s="526"/>
      <c r="X20" s="514"/>
      <c r="Y20" s="526"/>
      <c r="Z20" s="514"/>
      <c r="AA20" s="521"/>
      <c r="AB20" s="514"/>
      <c r="AC20" s="526"/>
      <c r="AD20" s="514"/>
      <c r="AE20" s="526"/>
      <c r="AF20" s="514"/>
      <c r="AG20" s="526"/>
      <c r="AH20" s="514"/>
      <c r="AI20" s="526"/>
      <c r="AJ20" s="514"/>
      <c r="AK20" s="526"/>
      <c r="AL20" s="514"/>
      <c r="AM20" s="526"/>
      <c r="AN20" s="514"/>
      <c r="AO20" s="526"/>
      <c r="AP20" s="514"/>
      <c r="AQ20" s="526"/>
      <c r="AR20" s="514"/>
      <c r="AS20" s="526"/>
      <c r="AT20" s="514"/>
      <c r="AU20" s="526"/>
      <c r="AV20" s="514"/>
      <c r="AW20" s="526"/>
      <c r="AX20" s="446"/>
      <c r="AY20" s="195"/>
      <c r="AZ20" s="692">
        <v>12</v>
      </c>
      <c r="BA20" s="696" t="s">
        <v>515</v>
      </c>
      <c r="BB20" s="692" t="s">
        <v>78</v>
      </c>
      <c r="BC20" s="79"/>
      <c r="BD20" s="540"/>
      <c r="BE20" s="79" t="str">
        <f t="shared" si="14"/>
        <v>N/A</v>
      </c>
      <c r="BF20" s="540"/>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08">
        <v>259</v>
      </c>
      <c r="C21" s="624">
        <v>13</v>
      </c>
      <c r="D21" s="396" t="s">
        <v>588</v>
      </c>
      <c r="E21" s="226" t="s">
        <v>298</v>
      </c>
      <c r="F21" s="514"/>
      <c r="G21" s="526"/>
      <c r="H21" s="514"/>
      <c r="I21" s="526"/>
      <c r="J21" s="514"/>
      <c r="K21" s="526"/>
      <c r="L21" s="514"/>
      <c r="M21" s="526"/>
      <c r="N21" s="514"/>
      <c r="O21" s="526"/>
      <c r="P21" s="514"/>
      <c r="Q21" s="526"/>
      <c r="R21" s="514"/>
      <c r="S21" s="526"/>
      <c r="T21" s="514"/>
      <c r="U21" s="526"/>
      <c r="V21" s="514"/>
      <c r="W21" s="526"/>
      <c r="X21" s="514"/>
      <c r="Y21" s="526"/>
      <c r="Z21" s="514"/>
      <c r="AA21" s="526"/>
      <c r="AB21" s="514"/>
      <c r="AC21" s="526"/>
      <c r="AD21" s="514"/>
      <c r="AE21" s="526"/>
      <c r="AF21" s="514"/>
      <c r="AG21" s="526"/>
      <c r="AH21" s="514"/>
      <c r="AI21" s="526"/>
      <c r="AJ21" s="514"/>
      <c r="AK21" s="526"/>
      <c r="AL21" s="514"/>
      <c r="AM21" s="526"/>
      <c r="AN21" s="514"/>
      <c r="AO21" s="526"/>
      <c r="AP21" s="514"/>
      <c r="AQ21" s="526"/>
      <c r="AR21" s="514"/>
      <c r="AS21" s="526"/>
      <c r="AT21" s="514"/>
      <c r="AU21" s="526"/>
      <c r="AV21" s="514"/>
      <c r="AW21" s="526"/>
      <c r="AX21" s="446"/>
      <c r="AY21" s="195"/>
      <c r="AZ21" s="692">
        <v>13</v>
      </c>
      <c r="BA21" s="698" t="s">
        <v>565</v>
      </c>
      <c r="BB21" s="692" t="s">
        <v>78</v>
      </c>
      <c r="BC21" s="79" t="s">
        <v>82</v>
      </c>
      <c r="BD21" s="540"/>
      <c r="BE21" s="79" t="str">
        <f t="shared" si="14"/>
        <v>N/A</v>
      </c>
      <c r="BF21" s="540"/>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08">
        <v>266</v>
      </c>
      <c r="C22" s="624">
        <v>14</v>
      </c>
      <c r="D22" s="573" t="s">
        <v>516</v>
      </c>
      <c r="E22" s="226" t="s">
        <v>298</v>
      </c>
      <c r="F22" s="514"/>
      <c r="G22" s="526"/>
      <c r="H22" s="514"/>
      <c r="I22" s="526"/>
      <c r="J22" s="514"/>
      <c r="K22" s="526"/>
      <c r="L22" s="514"/>
      <c r="M22" s="526"/>
      <c r="N22" s="514"/>
      <c r="O22" s="526"/>
      <c r="P22" s="514"/>
      <c r="Q22" s="526"/>
      <c r="R22" s="514"/>
      <c r="S22" s="526"/>
      <c r="T22" s="514"/>
      <c r="U22" s="526"/>
      <c r="V22" s="514"/>
      <c r="W22" s="526"/>
      <c r="X22" s="514"/>
      <c r="Y22" s="526"/>
      <c r="Z22" s="514"/>
      <c r="AA22" s="526"/>
      <c r="AB22" s="514"/>
      <c r="AC22" s="526"/>
      <c r="AD22" s="514"/>
      <c r="AE22" s="526"/>
      <c r="AF22" s="514"/>
      <c r="AG22" s="526"/>
      <c r="AH22" s="514"/>
      <c r="AI22" s="526"/>
      <c r="AJ22" s="514"/>
      <c r="AK22" s="526"/>
      <c r="AL22" s="514"/>
      <c r="AM22" s="526"/>
      <c r="AN22" s="514"/>
      <c r="AO22" s="526"/>
      <c r="AP22" s="514"/>
      <c r="AQ22" s="526"/>
      <c r="AR22" s="514"/>
      <c r="AS22" s="526"/>
      <c r="AT22" s="514"/>
      <c r="AU22" s="526"/>
      <c r="AV22" s="514"/>
      <c r="AW22" s="526"/>
      <c r="AX22" s="446"/>
      <c r="AY22" s="195"/>
      <c r="AZ22" s="692">
        <v>14</v>
      </c>
      <c r="BA22" s="699" t="s">
        <v>516</v>
      </c>
      <c r="BB22" s="692" t="s">
        <v>78</v>
      </c>
      <c r="BC22" s="79"/>
      <c r="BD22" s="540"/>
      <c r="BE22" s="79" t="str">
        <f t="shared" si="14"/>
        <v>N/A</v>
      </c>
      <c r="BF22" s="540"/>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08">
        <v>267</v>
      </c>
      <c r="C23" s="624">
        <v>15</v>
      </c>
      <c r="D23" s="339" t="s">
        <v>317</v>
      </c>
      <c r="E23" s="226" t="s">
        <v>298</v>
      </c>
      <c r="F23" s="514"/>
      <c r="G23" s="526"/>
      <c r="H23" s="514"/>
      <c r="I23" s="526"/>
      <c r="J23" s="514"/>
      <c r="K23" s="526"/>
      <c r="L23" s="514"/>
      <c r="M23" s="526"/>
      <c r="N23" s="514"/>
      <c r="O23" s="526"/>
      <c r="P23" s="514"/>
      <c r="Q23" s="526"/>
      <c r="R23" s="514"/>
      <c r="S23" s="526"/>
      <c r="T23" s="514"/>
      <c r="U23" s="526"/>
      <c r="V23" s="514"/>
      <c r="W23" s="526"/>
      <c r="X23" s="514"/>
      <c r="Y23" s="526"/>
      <c r="Z23" s="514"/>
      <c r="AA23" s="526"/>
      <c r="AB23" s="514"/>
      <c r="AC23" s="526"/>
      <c r="AD23" s="514"/>
      <c r="AE23" s="526"/>
      <c r="AF23" s="514"/>
      <c r="AG23" s="526"/>
      <c r="AH23" s="514"/>
      <c r="AI23" s="526"/>
      <c r="AJ23" s="514"/>
      <c r="AK23" s="526"/>
      <c r="AL23" s="514"/>
      <c r="AM23" s="526"/>
      <c r="AN23" s="514"/>
      <c r="AO23" s="526"/>
      <c r="AP23" s="514"/>
      <c r="AQ23" s="526"/>
      <c r="AR23" s="514"/>
      <c r="AS23" s="526"/>
      <c r="AT23" s="514"/>
      <c r="AU23" s="526"/>
      <c r="AV23" s="514"/>
      <c r="AW23" s="526"/>
      <c r="AX23" s="446"/>
      <c r="AY23" s="195"/>
      <c r="AZ23" s="692">
        <v>15</v>
      </c>
      <c r="BA23" s="696" t="s">
        <v>317</v>
      </c>
      <c r="BB23" s="692" t="s">
        <v>78</v>
      </c>
      <c r="BC23" s="103" t="s">
        <v>82</v>
      </c>
      <c r="BD23" s="540"/>
      <c r="BE23" s="79" t="str">
        <f t="shared" si="14"/>
        <v>N/A</v>
      </c>
      <c r="BF23" s="540"/>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08">
        <v>69</v>
      </c>
      <c r="C24" s="624">
        <v>16</v>
      </c>
      <c r="D24" s="328" t="s">
        <v>285</v>
      </c>
      <c r="E24" s="226" t="s">
        <v>298</v>
      </c>
      <c r="F24" s="514">
        <v>0</v>
      </c>
      <c r="G24" s="526"/>
      <c r="H24" s="514">
        <v>0</v>
      </c>
      <c r="I24" s="526"/>
      <c r="J24" s="514">
        <v>0</v>
      </c>
      <c r="K24" s="526"/>
      <c r="L24" s="514">
        <v>0</v>
      </c>
      <c r="M24" s="526"/>
      <c r="N24" s="514">
        <v>0</v>
      </c>
      <c r="O24" s="526"/>
      <c r="P24" s="514">
        <v>0</v>
      </c>
      <c r="Q24" s="526"/>
      <c r="R24" s="514">
        <v>0</v>
      </c>
      <c r="S24" s="526"/>
      <c r="T24" s="514">
        <v>0</v>
      </c>
      <c r="U24" s="526"/>
      <c r="V24" s="514">
        <v>0</v>
      </c>
      <c r="W24" s="526"/>
      <c r="X24" s="514">
        <v>0</v>
      </c>
      <c r="Y24" s="526"/>
      <c r="Z24" s="514">
        <v>0</v>
      </c>
      <c r="AA24" s="526"/>
      <c r="AB24" s="514">
        <v>0</v>
      </c>
      <c r="AC24" s="526"/>
      <c r="AD24" s="514">
        <v>0</v>
      </c>
      <c r="AE24" s="526"/>
      <c r="AF24" s="514">
        <v>0</v>
      </c>
      <c r="AG24" s="526"/>
      <c r="AH24" s="514">
        <v>0</v>
      </c>
      <c r="AI24" s="526"/>
      <c r="AJ24" s="514">
        <v>0</v>
      </c>
      <c r="AK24" s="526"/>
      <c r="AL24" s="514"/>
      <c r="AM24" s="526"/>
      <c r="AN24" s="514"/>
      <c r="AO24" s="526"/>
      <c r="AP24" s="514"/>
      <c r="AQ24" s="526"/>
      <c r="AR24" s="514"/>
      <c r="AS24" s="526"/>
      <c r="AT24" s="514"/>
      <c r="AU24" s="526"/>
      <c r="AV24" s="514"/>
      <c r="AW24" s="526"/>
      <c r="AX24" s="446"/>
      <c r="AY24" s="195"/>
      <c r="AZ24" s="692">
        <v>16</v>
      </c>
      <c r="BA24" s="691" t="s">
        <v>285</v>
      </c>
      <c r="BB24" s="692" t="s">
        <v>78</v>
      </c>
      <c r="BC24" s="79" t="s">
        <v>82</v>
      </c>
      <c r="BD24" s="540"/>
      <c r="BE24" s="79" t="e">
        <f t="shared" si="14"/>
        <v>#DIV/0!</v>
      </c>
      <c r="BF24" s="540"/>
      <c r="BG24" s="79" t="e">
        <f t="shared" si="13"/>
        <v>#DIV/0!</v>
      </c>
      <c r="BH24" s="79"/>
      <c r="BI24" s="79" t="e">
        <f t="shared" si="21"/>
        <v>#DIV/0!</v>
      </c>
      <c r="BJ24" s="79"/>
      <c r="BK24" s="79" t="e">
        <f t="shared" si="22"/>
        <v>#DIV/0!</v>
      </c>
      <c r="BL24" s="79"/>
      <c r="BM24" s="79" t="e">
        <f t="shared" si="23"/>
        <v>#DIV/0!</v>
      </c>
      <c r="BN24" s="79"/>
      <c r="BO24" s="79" t="e">
        <f t="shared" si="24"/>
        <v>#DIV/0!</v>
      </c>
      <c r="BP24" s="79"/>
      <c r="BQ24" s="79" t="e">
        <f t="shared" si="25"/>
        <v>#DIV/0!</v>
      </c>
      <c r="BR24" s="79"/>
      <c r="BS24" s="79" t="e">
        <f t="shared" si="26"/>
        <v>#DIV/0!</v>
      </c>
      <c r="BT24" s="79"/>
      <c r="BU24" s="79" t="e">
        <f t="shared" si="27"/>
        <v>#DIV/0!</v>
      </c>
      <c r="BV24" s="79"/>
      <c r="BW24" s="79" t="e">
        <f t="shared" si="28"/>
        <v>#DIV/0!</v>
      </c>
      <c r="BX24" s="79"/>
      <c r="BY24" s="79" t="e">
        <f t="shared" si="29"/>
        <v>#DIV/0!</v>
      </c>
      <c r="BZ24" s="79"/>
      <c r="CA24" s="79" t="e">
        <f t="shared" si="30"/>
        <v>#DIV/0!</v>
      </c>
      <c r="CB24" s="79"/>
      <c r="CC24" s="79" t="e">
        <f t="shared" si="31"/>
        <v>#DIV/0!</v>
      </c>
      <c r="CD24" s="79"/>
      <c r="CE24" s="79" t="e">
        <f t="shared" si="32"/>
        <v>#DIV/0!</v>
      </c>
      <c r="CF24" s="79"/>
      <c r="CG24" s="79" t="e">
        <f t="shared" si="33"/>
        <v>#DIV/0!</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4">
        <v>17</v>
      </c>
      <c r="D25" s="328" t="s">
        <v>501</v>
      </c>
      <c r="E25" s="226" t="s">
        <v>298</v>
      </c>
      <c r="F25" s="514">
        <v>0</v>
      </c>
      <c r="G25" s="526"/>
      <c r="H25" s="514">
        <v>0</v>
      </c>
      <c r="I25" s="526"/>
      <c r="J25" s="514">
        <v>0</v>
      </c>
      <c r="K25" s="526"/>
      <c r="L25" s="514">
        <v>0</v>
      </c>
      <c r="M25" s="526"/>
      <c r="N25" s="514">
        <v>0</v>
      </c>
      <c r="O25" s="526"/>
      <c r="P25" s="514">
        <v>0</v>
      </c>
      <c r="Q25" s="526"/>
      <c r="R25" s="514">
        <v>0</v>
      </c>
      <c r="S25" s="526"/>
      <c r="T25" s="514">
        <v>0</v>
      </c>
      <c r="U25" s="526"/>
      <c r="V25" s="514">
        <v>0</v>
      </c>
      <c r="W25" s="526"/>
      <c r="X25" s="514">
        <v>0</v>
      </c>
      <c r="Y25" s="526"/>
      <c r="Z25" s="514">
        <v>0</v>
      </c>
      <c r="AA25" s="526"/>
      <c r="AB25" s="514">
        <v>0</v>
      </c>
      <c r="AC25" s="526"/>
      <c r="AD25" s="514">
        <v>0</v>
      </c>
      <c r="AE25" s="526"/>
      <c r="AF25" s="514">
        <v>0</v>
      </c>
      <c r="AG25" s="526"/>
      <c r="AH25" s="514">
        <v>0</v>
      </c>
      <c r="AI25" s="526"/>
      <c r="AJ25" s="514">
        <v>0</v>
      </c>
      <c r="AK25" s="526"/>
      <c r="AL25" s="514"/>
      <c r="AM25" s="526"/>
      <c r="AN25" s="514"/>
      <c r="AO25" s="526"/>
      <c r="AP25" s="514"/>
      <c r="AQ25" s="526"/>
      <c r="AR25" s="514"/>
      <c r="AS25" s="526"/>
      <c r="AT25" s="514"/>
      <c r="AU25" s="526"/>
      <c r="AV25" s="514"/>
      <c r="AW25" s="526"/>
      <c r="AX25" s="446"/>
      <c r="AY25" s="195"/>
      <c r="AZ25" s="692">
        <v>17</v>
      </c>
      <c r="BA25" s="691" t="s">
        <v>501</v>
      </c>
      <c r="BB25" s="692" t="s">
        <v>78</v>
      </c>
      <c r="BC25" s="79" t="s">
        <v>82</v>
      </c>
      <c r="BD25" s="540"/>
      <c r="BE25" s="79" t="e">
        <f t="shared" si="14"/>
        <v>#DIV/0!</v>
      </c>
      <c r="BF25" s="540"/>
      <c r="BG25" s="79" t="e">
        <f t="shared" si="13"/>
        <v>#DIV/0!</v>
      </c>
      <c r="BH25" s="79"/>
      <c r="BI25" s="79" t="e">
        <f t="shared" si="21"/>
        <v>#DIV/0!</v>
      </c>
      <c r="BJ25" s="79"/>
      <c r="BK25" s="79" t="e">
        <f t="shared" si="22"/>
        <v>#DIV/0!</v>
      </c>
      <c r="BL25" s="79"/>
      <c r="BM25" s="79" t="e">
        <f t="shared" si="23"/>
        <v>#DIV/0!</v>
      </c>
      <c r="BN25" s="79"/>
      <c r="BO25" s="79" t="e">
        <f t="shared" si="24"/>
        <v>#DIV/0!</v>
      </c>
      <c r="BP25" s="79"/>
      <c r="BQ25" s="79" t="e">
        <f t="shared" si="25"/>
        <v>#DIV/0!</v>
      </c>
      <c r="BR25" s="79"/>
      <c r="BS25" s="79" t="e">
        <f t="shared" si="26"/>
        <v>#DIV/0!</v>
      </c>
      <c r="BT25" s="79"/>
      <c r="BU25" s="79" t="e">
        <f t="shared" si="27"/>
        <v>#DIV/0!</v>
      </c>
      <c r="BV25" s="79"/>
      <c r="BW25" s="79" t="e">
        <f t="shared" si="28"/>
        <v>#DIV/0!</v>
      </c>
      <c r="BX25" s="79"/>
      <c r="BY25" s="79" t="e">
        <f t="shared" si="29"/>
        <v>#DIV/0!</v>
      </c>
      <c r="BZ25" s="79"/>
      <c r="CA25" s="79" t="e">
        <f t="shared" si="30"/>
        <v>#DIV/0!</v>
      </c>
      <c r="CB25" s="79"/>
      <c r="CC25" s="79" t="e">
        <f t="shared" si="31"/>
        <v>#DIV/0!</v>
      </c>
      <c r="CD25" s="79"/>
      <c r="CE25" s="79" t="e">
        <f t="shared" si="32"/>
        <v>#DIV/0!</v>
      </c>
      <c r="CF25" s="79"/>
      <c r="CG25" s="79" t="e">
        <f t="shared" si="33"/>
        <v>#DIV/0!</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4">
        <v>18</v>
      </c>
      <c r="D26" s="328" t="s">
        <v>495</v>
      </c>
      <c r="E26" s="226" t="s">
        <v>298</v>
      </c>
      <c r="F26" s="514">
        <v>706</v>
      </c>
      <c r="G26" s="526" t="s">
        <v>646</v>
      </c>
      <c r="H26" s="514">
        <v>729</v>
      </c>
      <c r="I26" s="526" t="s">
        <v>646</v>
      </c>
      <c r="J26" s="514">
        <v>744</v>
      </c>
      <c r="K26" s="526" t="s">
        <v>646</v>
      </c>
      <c r="L26" s="514">
        <v>760</v>
      </c>
      <c r="M26" s="526" t="s">
        <v>646</v>
      </c>
      <c r="N26" s="514">
        <v>808</v>
      </c>
      <c r="O26" s="526" t="s">
        <v>646</v>
      </c>
      <c r="P26" s="514">
        <v>771</v>
      </c>
      <c r="Q26" s="526" t="s">
        <v>646</v>
      </c>
      <c r="R26" s="514">
        <v>617</v>
      </c>
      <c r="S26" s="526" t="s">
        <v>646</v>
      </c>
      <c r="T26" s="514">
        <v>715</v>
      </c>
      <c r="U26" s="526" t="s">
        <v>646</v>
      </c>
      <c r="V26" s="514">
        <v>653</v>
      </c>
      <c r="W26" s="526" t="s">
        <v>646</v>
      </c>
      <c r="X26" s="514">
        <v>725</v>
      </c>
      <c r="Y26" s="526" t="s">
        <v>646</v>
      </c>
      <c r="Z26" s="514">
        <v>681</v>
      </c>
      <c r="AA26" s="526" t="s">
        <v>646</v>
      </c>
      <c r="AB26" s="514">
        <v>818</v>
      </c>
      <c r="AC26" s="526" t="s">
        <v>646</v>
      </c>
      <c r="AD26" s="514">
        <v>709</v>
      </c>
      <c r="AE26" s="526" t="s">
        <v>646</v>
      </c>
      <c r="AF26" s="514">
        <v>612</v>
      </c>
      <c r="AG26" s="526" t="s">
        <v>646</v>
      </c>
      <c r="AH26" s="514">
        <v>724</v>
      </c>
      <c r="AI26" s="526" t="s">
        <v>646</v>
      </c>
      <c r="AJ26" s="514">
        <v>766</v>
      </c>
      <c r="AK26" s="526" t="s">
        <v>646</v>
      </c>
      <c r="AL26" s="514"/>
      <c r="AM26" s="526"/>
      <c r="AN26" s="514"/>
      <c r="AO26" s="526"/>
      <c r="AP26" s="514"/>
      <c r="AQ26" s="526"/>
      <c r="AR26" s="514"/>
      <c r="AS26" s="526"/>
      <c r="AT26" s="514"/>
      <c r="AU26" s="526"/>
      <c r="AV26" s="514"/>
      <c r="AW26" s="526"/>
      <c r="AX26" s="446"/>
      <c r="AY26" s="195"/>
      <c r="AZ26" s="692">
        <v>18</v>
      </c>
      <c r="BA26" s="691" t="s">
        <v>495</v>
      </c>
      <c r="BB26" s="692" t="s">
        <v>78</v>
      </c>
      <c r="BC26" s="79" t="s">
        <v>82</v>
      </c>
      <c r="BD26" s="540"/>
      <c r="BE26" s="79" t="str">
        <f t="shared" si="14"/>
        <v>ok</v>
      </c>
      <c r="BF26" s="540"/>
      <c r="BG26" s="79" t="str">
        <f t="shared" si="13"/>
        <v>ok</v>
      </c>
      <c r="BH26" s="79"/>
      <c r="BI26" s="79" t="str">
        <f t="shared" si="21"/>
        <v>ok</v>
      </c>
      <c r="BJ26" s="79"/>
      <c r="BK26" s="79" t="str">
        <f t="shared" si="22"/>
        <v>ok</v>
      </c>
      <c r="BL26" s="79"/>
      <c r="BM26" s="79" t="str">
        <f t="shared" si="23"/>
        <v>ok</v>
      </c>
      <c r="BN26" s="79"/>
      <c r="BO26" s="79" t="str">
        <f t="shared" si="24"/>
        <v>ok</v>
      </c>
      <c r="BP26" s="79"/>
      <c r="BQ26" s="79" t="str">
        <f t="shared" si="25"/>
        <v>ok</v>
      </c>
      <c r="BR26" s="79"/>
      <c r="BS26" s="79" t="str">
        <f t="shared" si="26"/>
        <v>ok</v>
      </c>
      <c r="BT26" s="79"/>
      <c r="BU26" s="79" t="str">
        <f t="shared" si="27"/>
        <v>ok</v>
      </c>
      <c r="BV26" s="79"/>
      <c r="BW26" s="79" t="str">
        <f t="shared" si="28"/>
        <v>ok</v>
      </c>
      <c r="BX26" s="79"/>
      <c r="BY26" s="79" t="str">
        <f t="shared" si="29"/>
        <v>ok</v>
      </c>
      <c r="BZ26" s="79"/>
      <c r="CA26" s="79" t="str">
        <f t="shared" si="30"/>
        <v>ok</v>
      </c>
      <c r="CB26" s="79"/>
      <c r="CC26" s="79" t="str">
        <f t="shared" si="31"/>
        <v>ok</v>
      </c>
      <c r="CD26" s="79"/>
      <c r="CE26" s="79" t="str">
        <f t="shared" si="32"/>
        <v>ok</v>
      </c>
      <c r="CF26" s="79"/>
      <c r="CG26" s="79" t="str">
        <f t="shared" si="33"/>
        <v>ok</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4">
        <v>19</v>
      </c>
      <c r="D27" s="328" t="s">
        <v>87</v>
      </c>
      <c r="E27" s="226" t="s">
        <v>298</v>
      </c>
      <c r="F27" s="514">
        <v>0</v>
      </c>
      <c r="G27" s="526"/>
      <c r="H27" s="514">
        <v>0</v>
      </c>
      <c r="I27" s="526"/>
      <c r="J27" s="514">
        <v>0</v>
      </c>
      <c r="K27" s="526"/>
      <c r="L27" s="514">
        <v>0</v>
      </c>
      <c r="M27" s="526"/>
      <c r="N27" s="514">
        <v>0</v>
      </c>
      <c r="O27" s="526"/>
      <c r="P27" s="514">
        <v>0</v>
      </c>
      <c r="Q27" s="526"/>
      <c r="R27" s="514">
        <v>0</v>
      </c>
      <c r="S27" s="526"/>
      <c r="T27" s="514">
        <v>0</v>
      </c>
      <c r="U27" s="526"/>
      <c r="V27" s="514">
        <v>0</v>
      </c>
      <c r="W27" s="526"/>
      <c r="X27" s="514"/>
      <c r="Y27" s="526"/>
      <c r="Z27" s="514"/>
      <c r="AA27" s="526"/>
      <c r="AB27" s="514"/>
      <c r="AC27" s="526"/>
      <c r="AD27" s="514"/>
      <c r="AE27" s="526"/>
      <c r="AF27" s="514"/>
      <c r="AG27" s="526"/>
      <c r="AH27" s="514"/>
      <c r="AI27" s="526"/>
      <c r="AJ27" s="514"/>
      <c r="AK27" s="526"/>
      <c r="AL27" s="514"/>
      <c r="AM27" s="526"/>
      <c r="AN27" s="514"/>
      <c r="AO27" s="526"/>
      <c r="AP27" s="514"/>
      <c r="AQ27" s="526"/>
      <c r="AR27" s="514"/>
      <c r="AS27" s="526"/>
      <c r="AT27" s="514"/>
      <c r="AU27" s="526"/>
      <c r="AV27" s="514"/>
      <c r="AW27" s="526"/>
      <c r="AX27" s="446"/>
      <c r="AY27" s="195"/>
      <c r="AZ27" s="692">
        <v>19</v>
      </c>
      <c r="BA27" s="691" t="s">
        <v>87</v>
      </c>
      <c r="BB27" s="692" t="s">
        <v>78</v>
      </c>
      <c r="BC27" s="79" t="s">
        <v>82</v>
      </c>
      <c r="BD27" s="540"/>
      <c r="BE27" s="79" t="e">
        <f t="shared" si="14"/>
        <v>#DIV/0!</v>
      </c>
      <c r="BF27" s="540"/>
      <c r="BG27" s="79" t="e">
        <f t="shared" si="13"/>
        <v>#DIV/0!</v>
      </c>
      <c r="BH27" s="79"/>
      <c r="BI27" s="79" t="e">
        <f t="shared" si="21"/>
        <v>#DIV/0!</v>
      </c>
      <c r="BJ27" s="79"/>
      <c r="BK27" s="79" t="e">
        <f t="shared" si="22"/>
        <v>#DIV/0!</v>
      </c>
      <c r="BL27" s="79"/>
      <c r="BM27" s="79" t="e">
        <f t="shared" si="23"/>
        <v>#DIV/0!</v>
      </c>
      <c r="BN27" s="79"/>
      <c r="BO27" s="79" t="e">
        <f t="shared" si="24"/>
        <v>#DIV/0!</v>
      </c>
      <c r="BP27" s="79"/>
      <c r="BQ27" s="79" t="e">
        <f t="shared" si="25"/>
        <v>#DIV/0!</v>
      </c>
      <c r="BR27" s="79"/>
      <c r="BS27" s="79" t="e">
        <f t="shared" si="26"/>
        <v>#DIV/0!</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2">
        <v>20</v>
      </c>
      <c r="D28" s="623" t="s">
        <v>602</v>
      </c>
      <c r="E28" s="226" t="s">
        <v>298</v>
      </c>
      <c r="F28" s="515">
        <v>967</v>
      </c>
      <c r="G28" s="526"/>
      <c r="H28" s="514">
        <v>1030</v>
      </c>
      <c r="I28" s="526"/>
      <c r="J28" s="515">
        <v>996</v>
      </c>
      <c r="K28" s="526"/>
      <c r="L28" s="514">
        <v>1012</v>
      </c>
      <c r="M28" s="526"/>
      <c r="N28" s="515">
        <v>919</v>
      </c>
      <c r="O28" s="526"/>
      <c r="P28" s="515">
        <v>1069</v>
      </c>
      <c r="Q28" s="526"/>
      <c r="R28" s="514">
        <v>937</v>
      </c>
      <c r="S28" s="526"/>
      <c r="T28" s="514">
        <v>902</v>
      </c>
      <c r="U28" s="526"/>
      <c r="V28" s="515">
        <v>985</v>
      </c>
      <c r="W28" s="526"/>
      <c r="X28" s="515">
        <v>945</v>
      </c>
      <c r="Y28" s="526"/>
      <c r="Z28" s="514">
        <v>909</v>
      </c>
      <c r="AA28" s="526"/>
      <c r="AB28" s="514">
        <v>921</v>
      </c>
      <c r="AC28" s="526"/>
      <c r="AD28" s="515">
        <v>926</v>
      </c>
      <c r="AE28" s="526"/>
      <c r="AF28" s="515">
        <v>948</v>
      </c>
      <c r="AG28" s="526"/>
      <c r="AH28" s="514">
        <v>952</v>
      </c>
      <c r="AI28" s="526"/>
      <c r="AJ28" s="514">
        <v>992</v>
      </c>
      <c r="AK28" s="526"/>
      <c r="AL28" s="515"/>
      <c r="AM28" s="526"/>
      <c r="AN28" s="515"/>
      <c r="AO28" s="526"/>
      <c r="AP28" s="514"/>
      <c r="AQ28" s="526"/>
      <c r="AR28" s="515"/>
      <c r="AS28" s="526"/>
      <c r="AT28" s="515"/>
      <c r="AU28" s="526"/>
      <c r="AV28" s="514"/>
      <c r="AW28" s="526"/>
      <c r="AX28" s="580"/>
      <c r="AY28" s="342"/>
      <c r="AZ28" s="693">
        <v>20</v>
      </c>
      <c r="BA28" s="694" t="s">
        <v>602</v>
      </c>
      <c r="BB28" s="692" t="s">
        <v>78</v>
      </c>
      <c r="BC28" s="79" t="s">
        <v>82</v>
      </c>
      <c r="BD28" s="544"/>
      <c r="BE28" s="79" t="str">
        <f t="shared" si="14"/>
        <v>ok</v>
      </c>
      <c r="BF28" s="544"/>
      <c r="BG28" s="79" t="str">
        <f t="shared" si="13"/>
        <v>ok</v>
      </c>
      <c r="BH28" s="79"/>
      <c r="BI28" s="79" t="str">
        <f t="shared" si="21"/>
        <v>ok</v>
      </c>
      <c r="BJ28" s="79"/>
      <c r="BK28" s="79" t="str">
        <f t="shared" si="22"/>
        <v>ok</v>
      </c>
      <c r="BL28" s="79"/>
      <c r="BM28" s="79" t="str">
        <f t="shared" si="23"/>
        <v>ok</v>
      </c>
      <c r="BN28" s="79"/>
      <c r="BO28" s="79" t="str">
        <f t="shared" si="24"/>
        <v>ok</v>
      </c>
      <c r="BP28" s="79"/>
      <c r="BQ28" s="79" t="str">
        <f t="shared" si="25"/>
        <v>ok</v>
      </c>
      <c r="BR28" s="79"/>
      <c r="BS28" s="79" t="str">
        <f t="shared" si="26"/>
        <v>ok</v>
      </c>
      <c r="BT28" s="79"/>
      <c r="BU28" s="79" t="str">
        <f t="shared" si="27"/>
        <v>ok</v>
      </c>
      <c r="BV28" s="79"/>
      <c r="BW28" s="79" t="str">
        <f t="shared" si="28"/>
        <v>ok</v>
      </c>
      <c r="BX28" s="79"/>
      <c r="BY28" s="79" t="str">
        <f t="shared" si="29"/>
        <v>ok</v>
      </c>
      <c r="BZ28" s="79"/>
      <c r="CA28" s="79" t="str">
        <f t="shared" si="30"/>
        <v>ok</v>
      </c>
      <c r="CB28" s="79"/>
      <c r="CC28" s="79" t="str">
        <f t="shared" si="31"/>
        <v>ok</v>
      </c>
      <c r="CD28" s="79"/>
      <c r="CE28" s="79" t="str">
        <f t="shared" si="32"/>
        <v>ok</v>
      </c>
      <c r="CF28" s="79"/>
      <c r="CG28" s="79" t="str">
        <f t="shared" si="33"/>
        <v>ok</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4">
        <v>21</v>
      </c>
      <c r="D29" s="625" t="s">
        <v>13</v>
      </c>
      <c r="E29" s="226" t="s">
        <v>298</v>
      </c>
      <c r="F29" s="514">
        <v>0</v>
      </c>
      <c r="G29" s="526"/>
      <c r="H29" s="514">
        <v>0</v>
      </c>
      <c r="I29" s="526"/>
      <c r="J29" s="514">
        <v>0</v>
      </c>
      <c r="K29" s="526"/>
      <c r="L29" s="514">
        <v>0</v>
      </c>
      <c r="M29" s="526"/>
      <c r="N29" s="514">
        <v>0</v>
      </c>
      <c r="O29" s="526"/>
      <c r="P29" s="514">
        <v>0</v>
      </c>
      <c r="Q29" s="526"/>
      <c r="R29" s="514">
        <v>0</v>
      </c>
      <c r="S29" s="526"/>
      <c r="T29" s="514">
        <v>0</v>
      </c>
      <c r="U29" s="526"/>
      <c r="V29" s="514">
        <v>0</v>
      </c>
      <c r="W29" s="526"/>
      <c r="X29" s="514">
        <v>0</v>
      </c>
      <c r="Y29" s="526"/>
      <c r="Z29" s="514">
        <v>0</v>
      </c>
      <c r="AA29" s="526"/>
      <c r="AB29" s="514">
        <v>0</v>
      </c>
      <c r="AC29" s="526"/>
      <c r="AD29" s="514">
        <v>0</v>
      </c>
      <c r="AE29" s="526"/>
      <c r="AF29" s="514">
        <v>0</v>
      </c>
      <c r="AG29" s="526"/>
      <c r="AH29" s="514">
        <v>0</v>
      </c>
      <c r="AI29" s="526"/>
      <c r="AJ29" s="514">
        <v>0</v>
      </c>
      <c r="AK29" s="526"/>
      <c r="AL29" s="514"/>
      <c r="AM29" s="526"/>
      <c r="AN29" s="514"/>
      <c r="AO29" s="526"/>
      <c r="AP29" s="514"/>
      <c r="AQ29" s="526"/>
      <c r="AR29" s="514"/>
      <c r="AS29" s="526"/>
      <c r="AT29" s="514"/>
      <c r="AU29" s="526"/>
      <c r="AV29" s="514"/>
      <c r="AW29" s="526"/>
      <c r="AX29" s="580"/>
      <c r="AY29" s="342"/>
      <c r="AZ29" s="693">
        <v>21</v>
      </c>
      <c r="BA29" s="694" t="s">
        <v>13</v>
      </c>
      <c r="BB29" s="692" t="s">
        <v>78</v>
      </c>
      <c r="BC29" s="79" t="s">
        <v>82</v>
      </c>
      <c r="BD29" s="544"/>
      <c r="BE29" s="79" t="e">
        <f t="shared" si="14"/>
        <v>#DIV/0!</v>
      </c>
      <c r="BF29" s="544"/>
      <c r="BG29" s="79" t="e">
        <f t="shared" si="13"/>
        <v>#DIV/0!</v>
      </c>
      <c r="BH29" s="79"/>
      <c r="BI29" s="79" t="e">
        <f t="shared" si="21"/>
        <v>#DIV/0!</v>
      </c>
      <c r="BJ29" s="79"/>
      <c r="BK29" s="79" t="e">
        <f t="shared" si="22"/>
        <v>#DIV/0!</v>
      </c>
      <c r="BL29" s="79"/>
      <c r="BM29" s="79" t="e">
        <f t="shared" si="23"/>
        <v>#DIV/0!</v>
      </c>
      <c r="BN29" s="79"/>
      <c r="BO29" s="79" t="e">
        <f t="shared" si="24"/>
        <v>#DIV/0!</v>
      </c>
      <c r="BP29" s="79"/>
      <c r="BQ29" s="79" t="e">
        <f t="shared" si="25"/>
        <v>#DIV/0!</v>
      </c>
      <c r="BR29" s="79"/>
      <c r="BS29" s="79" t="e">
        <f t="shared" si="26"/>
        <v>#DIV/0!</v>
      </c>
      <c r="BT29" s="79"/>
      <c r="BU29" s="79" t="e">
        <f t="shared" si="27"/>
        <v>#DIV/0!</v>
      </c>
      <c r="BV29" s="79"/>
      <c r="BW29" s="79" t="e">
        <f t="shared" si="28"/>
        <v>#DIV/0!</v>
      </c>
      <c r="BX29" s="79"/>
      <c r="BY29" s="79" t="e">
        <f t="shared" si="29"/>
        <v>#DIV/0!</v>
      </c>
      <c r="BZ29" s="79"/>
      <c r="CA29" s="79" t="e">
        <f t="shared" si="30"/>
        <v>#DIV/0!</v>
      </c>
      <c r="CB29" s="79"/>
      <c r="CC29" s="79" t="e">
        <f t="shared" si="31"/>
        <v>#DIV/0!</v>
      </c>
      <c r="CD29" s="79"/>
      <c r="CE29" s="79" t="e">
        <f t="shared" si="32"/>
        <v>#DIV/0!</v>
      </c>
      <c r="CF29" s="79"/>
      <c r="CG29" s="79" t="e">
        <f t="shared" si="33"/>
        <v>#DIV/0!</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2">
        <v>22</v>
      </c>
      <c r="D30" s="334" t="s">
        <v>600</v>
      </c>
      <c r="E30" s="226" t="s">
        <v>298</v>
      </c>
      <c r="F30" s="514"/>
      <c r="G30" s="526"/>
      <c r="H30" s="514"/>
      <c r="I30" s="526"/>
      <c r="J30" s="514"/>
      <c r="K30" s="526"/>
      <c r="L30" s="514"/>
      <c r="M30" s="526"/>
      <c r="N30" s="514"/>
      <c r="O30" s="526"/>
      <c r="P30" s="514"/>
      <c r="Q30" s="526"/>
      <c r="R30" s="514"/>
      <c r="S30" s="526"/>
      <c r="T30" s="514"/>
      <c r="U30" s="526"/>
      <c r="V30" s="514"/>
      <c r="W30" s="526"/>
      <c r="X30" s="514"/>
      <c r="Y30" s="526"/>
      <c r="Z30" s="514"/>
      <c r="AA30" s="526"/>
      <c r="AB30" s="514"/>
      <c r="AC30" s="526"/>
      <c r="AD30" s="514"/>
      <c r="AE30" s="526"/>
      <c r="AF30" s="514"/>
      <c r="AG30" s="526"/>
      <c r="AH30" s="514"/>
      <c r="AI30" s="526"/>
      <c r="AJ30" s="514"/>
      <c r="AK30" s="526"/>
      <c r="AL30" s="514"/>
      <c r="AM30" s="526"/>
      <c r="AN30" s="514"/>
      <c r="AO30" s="526"/>
      <c r="AP30" s="514"/>
      <c r="AQ30" s="526"/>
      <c r="AR30" s="514"/>
      <c r="AS30" s="526"/>
      <c r="AT30" s="514"/>
      <c r="AU30" s="526"/>
      <c r="AV30" s="514"/>
      <c r="AW30" s="526"/>
      <c r="AX30" s="580"/>
      <c r="AY30" s="342"/>
      <c r="AZ30" s="693">
        <v>22</v>
      </c>
      <c r="BA30" s="694" t="s">
        <v>600</v>
      </c>
      <c r="BB30" s="692" t="s">
        <v>78</v>
      </c>
      <c r="BC30" s="103" t="s">
        <v>82</v>
      </c>
      <c r="BD30" s="544"/>
      <c r="BE30" s="79" t="str">
        <f t="shared" si="14"/>
        <v>N/A</v>
      </c>
      <c r="BF30" s="544"/>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1"/>
      <c r="D31" s="530" t="s">
        <v>438</v>
      </c>
      <c r="E31" s="531"/>
      <c r="F31" s="532"/>
      <c r="G31" s="533"/>
      <c r="H31" s="532"/>
      <c r="I31" s="533"/>
      <c r="J31" s="532"/>
      <c r="K31" s="533"/>
      <c r="L31" s="532"/>
      <c r="M31" s="533"/>
      <c r="N31" s="532"/>
      <c r="O31" s="533"/>
      <c r="P31" s="532"/>
      <c r="Q31" s="533"/>
      <c r="R31" s="532"/>
      <c r="S31" s="533"/>
      <c r="T31" s="532"/>
      <c r="U31" s="533"/>
      <c r="V31" s="532"/>
      <c r="W31" s="533"/>
      <c r="X31" s="532"/>
      <c r="Y31" s="533"/>
      <c r="Z31" s="532"/>
      <c r="AA31" s="533"/>
      <c r="AB31" s="532"/>
      <c r="AC31" s="533"/>
      <c r="AD31" s="532"/>
      <c r="AE31" s="533"/>
      <c r="AF31" s="532"/>
      <c r="AG31" s="533"/>
      <c r="AH31" s="532"/>
      <c r="AI31" s="533"/>
      <c r="AJ31" s="532"/>
      <c r="AK31" s="533"/>
      <c r="AL31" s="532"/>
      <c r="AM31" s="533"/>
      <c r="AN31" s="532"/>
      <c r="AO31" s="533"/>
      <c r="AP31" s="532"/>
      <c r="AQ31" s="533"/>
      <c r="AR31" s="532"/>
      <c r="AS31" s="533"/>
      <c r="AT31" s="532"/>
      <c r="AU31" s="533"/>
      <c r="AV31" s="532"/>
      <c r="AW31" s="533"/>
      <c r="AX31" s="446"/>
      <c r="AY31" s="195"/>
      <c r="AZ31" s="692"/>
      <c r="BA31" s="695" t="s">
        <v>438</v>
      </c>
      <c r="BB31" s="692"/>
      <c r="BC31" s="79"/>
      <c r="BD31" s="540"/>
      <c r="BE31" s="79"/>
      <c r="BF31" s="540"/>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4">
        <v>23</v>
      </c>
      <c r="D32" s="328" t="s">
        <v>383</v>
      </c>
      <c r="E32" s="226" t="s">
        <v>298</v>
      </c>
      <c r="F32" s="514">
        <v>286</v>
      </c>
      <c r="G32" s="526" t="s">
        <v>648</v>
      </c>
      <c r="H32" s="514">
        <v>297</v>
      </c>
      <c r="I32" s="526" t="s">
        <v>648</v>
      </c>
      <c r="J32" s="514">
        <v>303</v>
      </c>
      <c r="K32" s="526" t="s">
        <v>648</v>
      </c>
      <c r="L32" s="514">
        <v>320</v>
      </c>
      <c r="M32" s="526" t="s">
        <v>648</v>
      </c>
      <c r="N32" s="514">
        <v>319</v>
      </c>
      <c r="O32" s="526" t="s">
        <v>648</v>
      </c>
      <c r="P32" s="514">
        <v>323</v>
      </c>
      <c r="Q32" s="526" t="s">
        <v>648</v>
      </c>
      <c r="R32" s="514">
        <v>322</v>
      </c>
      <c r="S32" s="526" t="s">
        <v>648</v>
      </c>
      <c r="T32" s="514">
        <v>323</v>
      </c>
      <c r="U32" s="526" t="s">
        <v>648</v>
      </c>
      <c r="V32" s="514">
        <v>330</v>
      </c>
      <c r="W32" s="526" t="s">
        <v>648</v>
      </c>
      <c r="X32" s="514">
        <v>337</v>
      </c>
      <c r="Y32" s="526" t="s">
        <v>648</v>
      </c>
      <c r="Z32" s="514">
        <v>333</v>
      </c>
      <c r="AA32" s="526" t="s">
        <v>648</v>
      </c>
      <c r="AB32" s="514">
        <v>337</v>
      </c>
      <c r="AC32" s="526" t="s">
        <v>648</v>
      </c>
      <c r="AD32" s="514">
        <v>341</v>
      </c>
      <c r="AE32" s="526" t="s">
        <v>648</v>
      </c>
      <c r="AF32" s="514">
        <v>346</v>
      </c>
      <c r="AG32" s="526" t="s">
        <v>648</v>
      </c>
      <c r="AH32" s="514">
        <v>348</v>
      </c>
      <c r="AI32" s="526" t="s">
        <v>648</v>
      </c>
      <c r="AJ32" s="514">
        <v>354</v>
      </c>
      <c r="AK32" s="526" t="s">
        <v>648</v>
      </c>
      <c r="AL32" s="514"/>
      <c r="AM32" s="526"/>
      <c r="AN32" s="514"/>
      <c r="AO32" s="526"/>
      <c r="AP32" s="514"/>
      <c r="AQ32" s="526"/>
      <c r="AR32" s="514"/>
      <c r="AS32" s="526"/>
      <c r="AT32" s="514"/>
      <c r="AU32" s="526"/>
      <c r="AV32" s="514"/>
      <c r="AW32" s="526"/>
      <c r="AX32" s="446"/>
      <c r="AY32" s="195"/>
      <c r="AZ32" s="700">
        <v>23</v>
      </c>
      <c r="BA32" s="691" t="s">
        <v>383</v>
      </c>
      <c r="BB32" s="692" t="s">
        <v>78</v>
      </c>
      <c r="BC32" s="79" t="s">
        <v>82</v>
      </c>
      <c r="BD32" s="540"/>
      <c r="BE32" s="79" t="str">
        <f t="shared" si="14"/>
        <v>ok</v>
      </c>
      <c r="BF32" s="540"/>
      <c r="BG32" s="79" t="str">
        <f t="shared" si="13"/>
        <v>ok</v>
      </c>
      <c r="BH32" s="79"/>
      <c r="BI32" s="79" t="str">
        <f t="shared" si="21"/>
        <v>ok</v>
      </c>
      <c r="BJ32" s="79"/>
      <c r="BK32" s="79" t="str">
        <f t="shared" si="22"/>
        <v>ok</v>
      </c>
      <c r="BL32" s="79"/>
      <c r="BM32" s="79" t="str">
        <f t="shared" si="23"/>
        <v>ok</v>
      </c>
      <c r="BN32" s="79"/>
      <c r="BO32" s="79" t="str">
        <f t="shared" si="24"/>
        <v>ok</v>
      </c>
      <c r="BP32" s="79"/>
      <c r="BQ32" s="79" t="str">
        <f t="shared" si="25"/>
        <v>ok</v>
      </c>
      <c r="BR32" s="79"/>
      <c r="BS32" s="79" t="str">
        <f t="shared" si="26"/>
        <v>ok</v>
      </c>
      <c r="BT32" s="79"/>
      <c r="BU32" s="79" t="str">
        <f t="shared" si="27"/>
        <v>ok</v>
      </c>
      <c r="BV32" s="79"/>
      <c r="BW32" s="79" t="str">
        <f t="shared" si="28"/>
        <v>ok</v>
      </c>
      <c r="BX32" s="79"/>
      <c r="BY32" s="79" t="str">
        <f t="shared" si="29"/>
        <v>ok</v>
      </c>
      <c r="BZ32" s="79"/>
      <c r="CA32" s="79" t="str">
        <f t="shared" si="30"/>
        <v>ok</v>
      </c>
      <c r="CB32" s="79"/>
      <c r="CC32" s="79" t="str">
        <f t="shared" si="31"/>
        <v>ok</v>
      </c>
      <c r="CD32" s="79"/>
      <c r="CE32" s="79" t="str">
        <f t="shared" si="32"/>
        <v>ok</v>
      </c>
      <c r="CF32" s="79"/>
      <c r="CG32" s="79" t="str">
        <f t="shared" si="33"/>
        <v>ok</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6">
        <v>24</v>
      </c>
      <c r="D33" s="609" t="s">
        <v>117</v>
      </c>
      <c r="E33" s="226" t="s">
        <v>298</v>
      </c>
      <c r="F33" s="536"/>
      <c r="G33" s="523"/>
      <c r="H33" s="536"/>
      <c r="I33" s="523"/>
      <c r="J33" s="536"/>
      <c r="K33" s="523"/>
      <c r="L33" s="536"/>
      <c r="M33" s="523"/>
      <c r="N33" s="536"/>
      <c r="O33" s="523"/>
      <c r="P33" s="536"/>
      <c r="Q33" s="523"/>
      <c r="R33" s="536"/>
      <c r="S33" s="523"/>
      <c r="T33" s="536"/>
      <c r="U33" s="523"/>
      <c r="V33" s="536"/>
      <c r="W33" s="523"/>
      <c r="X33" s="536"/>
      <c r="Y33" s="523"/>
      <c r="Z33" s="536"/>
      <c r="AA33" s="523"/>
      <c r="AB33" s="536"/>
      <c r="AC33" s="523"/>
      <c r="AD33" s="536"/>
      <c r="AE33" s="523"/>
      <c r="AF33" s="536"/>
      <c r="AG33" s="523"/>
      <c r="AH33" s="536"/>
      <c r="AI33" s="523"/>
      <c r="AJ33" s="536"/>
      <c r="AK33" s="523"/>
      <c r="AL33" s="536"/>
      <c r="AM33" s="523"/>
      <c r="AN33" s="536"/>
      <c r="AO33" s="523"/>
      <c r="AP33" s="536"/>
      <c r="AQ33" s="523"/>
      <c r="AR33" s="536"/>
      <c r="AS33" s="523"/>
      <c r="AT33" s="536"/>
      <c r="AU33" s="523"/>
      <c r="AV33" s="536"/>
      <c r="AW33" s="523"/>
      <c r="AX33" s="446"/>
      <c r="AY33" s="195"/>
      <c r="AZ33" s="700">
        <v>24</v>
      </c>
      <c r="BA33" s="691" t="s">
        <v>196</v>
      </c>
      <c r="BB33" s="692" t="s">
        <v>78</v>
      </c>
      <c r="BC33" s="79" t="s">
        <v>82</v>
      </c>
      <c r="BD33" s="541"/>
      <c r="BE33" s="79" t="str">
        <f t="shared" si="14"/>
        <v>N/A</v>
      </c>
      <c r="BF33" s="540"/>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4">
        <v>25</v>
      </c>
      <c r="D34" s="572" t="s">
        <v>643</v>
      </c>
      <c r="E34" s="226" t="s">
        <v>298</v>
      </c>
      <c r="F34" s="536"/>
      <c r="G34" s="523"/>
      <c r="H34" s="536"/>
      <c r="I34" s="523"/>
      <c r="J34" s="536"/>
      <c r="K34" s="523"/>
      <c r="L34" s="536"/>
      <c r="M34" s="523"/>
      <c r="N34" s="536"/>
      <c r="O34" s="523"/>
      <c r="P34" s="536"/>
      <c r="Q34" s="523"/>
      <c r="R34" s="536"/>
      <c r="S34" s="523"/>
      <c r="T34" s="536"/>
      <c r="U34" s="523"/>
      <c r="V34" s="536"/>
      <c r="W34" s="523"/>
      <c r="X34" s="536"/>
      <c r="Y34" s="523"/>
      <c r="Z34" s="536"/>
      <c r="AA34" s="523"/>
      <c r="AB34" s="536"/>
      <c r="AC34" s="523"/>
      <c r="AD34" s="536"/>
      <c r="AE34" s="523"/>
      <c r="AF34" s="536"/>
      <c r="AG34" s="523"/>
      <c r="AH34" s="536"/>
      <c r="AI34" s="523"/>
      <c r="AJ34" s="536"/>
      <c r="AK34" s="523"/>
      <c r="AL34" s="536"/>
      <c r="AM34" s="523"/>
      <c r="AN34" s="536"/>
      <c r="AO34" s="523"/>
      <c r="AP34" s="536"/>
      <c r="AQ34" s="523"/>
      <c r="AR34" s="536"/>
      <c r="AS34" s="523"/>
      <c r="AT34" s="536"/>
      <c r="AU34" s="523"/>
      <c r="AV34" s="536"/>
      <c r="AW34" s="523"/>
      <c r="AX34" s="446"/>
      <c r="AY34" s="195"/>
      <c r="AZ34" s="700">
        <v>25</v>
      </c>
      <c r="BA34" s="691" t="s">
        <v>566</v>
      </c>
      <c r="BB34" s="692" t="s">
        <v>78</v>
      </c>
      <c r="BC34" s="79"/>
      <c r="BD34" s="541"/>
      <c r="BE34" s="79" t="str">
        <f t="shared" si="14"/>
        <v>N/A</v>
      </c>
      <c r="BF34" s="540"/>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6">
        <v>26</v>
      </c>
      <c r="D35" s="339" t="s">
        <v>518</v>
      </c>
      <c r="E35" s="226" t="s">
        <v>298</v>
      </c>
      <c r="F35" s="536"/>
      <c r="G35" s="523"/>
      <c r="H35" s="536"/>
      <c r="I35" s="523"/>
      <c r="J35" s="536"/>
      <c r="K35" s="523"/>
      <c r="L35" s="536"/>
      <c r="M35" s="523"/>
      <c r="N35" s="536"/>
      <c r="O35" s="523"/>
      <c r="P35" s="536"/>
      <c r="Q35" s="523"/>
      <c r="R35" s="536"/>
      <c r="S35" s="523"/>
      <c r="T35" s="536"/>
      <c r="U35" s="523"/>
      <c r="V35" s="536"/>
      <c r="W35" s="523"/>
      <c r="X35" s="536"/>
      <c r="Y35" s="523"/>
      <c r="Z35" s="536"/>
      <c r="AA35" s="523"/>
      <c r="AB35" s="536"/>
      <c r="AC35" s="523"/>
      <c r="AD35" s="536"/>
      <c r="AE35" s="523"/>
      <c r="AF35" s="536"/>
      <c r="AG35" s="523"/>
      <c r="AH35" s="536"/>
      <c r="AI35" s="523"/>
      <c r="AJ35" s="536"/>
      <c r="AK35" s="523"/>
      <c r="AL35" s="536"/>
      <c r="AM35" s="523"/>
      <c r="AN35" s="536"/>
      <c r="AO35" s="523"/>
      <c r="AP35" s="536"/>
      <c r="AQ35" s="523"/>
      <c r="AR35" s="536"/>
      <c r="AS35" s="523"/>
      <c r="AT35" s="536"/>
      <c r="AU35" s="523"/>
      <c r="AV35" s="536"/>
      <c r="AW35" s="523"/>
      <c r="AX35" s="446"/>
      <c r="AY35" s="195"/>
      <c r="AZ35" s="700">
        <v>26</v>
      </c>
      <c r="BA35" s="691" t="s">
        <v>517</v>
      </c>
      <c r="BB35" s="692" t="s">
        <v>78</v>
      </c>
      <c r="BC35" s="79"/>
      <c r="BD35" s="541"/>
      <c r="BE35" s="79" t="str">
        <f t="shared" si="14"/>
        <v>N/A</v>
      </c>
      <c r="BF35" s="540"/>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4">
        <v>27</v>
      </c>
      <c r="D36" s="609" t="s">
        <v>487</v>
      </c>
      <c r="E36" s="226" t="s">
        <v>298</v>
      </c>
      <c r="F36" s="536"/>
      <c r="G36" s="523"/>
      <c r="H36" s="536"/>
      <c r="I36" s="523"/>
      <c r="J36" s="536"/>
      <c r="K36" s="523"/>
      <c r="L36" s="536"/>
      <c r="M36" s="523"/>
      <c r="N36" s="536"/>
      <c r="O36" s="523"/>
      <c r="P36" s="536"/>
      <c r="Q36" s="523"/>
      <c r="R36" s="536"/>
      <c r="S36" s="523"/>
      <c r="T36" s="536"/>
      <c r="U36" s="523"/>
      <c r="V36" s="536"/>
      <c r="W36" s="523"/>
      <c r="X36" s="536"/>
      <c r="Y36" s="523"/>
      <c r="Z36" s="536"/>
      <c r="AA36" s="523"/>
      <c r="AB36" s="536"/>
      <c r="AC36" s="523"/>
      <c r="AD36" s="536"/>
      <c r="AE36" s="523"/>
      <c r="AF36" s="536"/>
      <c r="AG36" s="523"/>
      <c r="AH36" s="536"/>
      <c r="AI36" s="523"/>
      <c r="AJ36" s="536"/>
      <c r="AK36" s="523"/>
      <c r="AL36" s="536"/>
      <c r="AM36" s="523"/>
      <c r="AN36" s="536"/>
      <c r="AO36" s="523"/>
      <c r="AP36" s="536"/>
      <c r="AQ36" s="523"/>
      <c r="AR36" s="536"/>
      <c r="AS36" s="523"/>
      <c r="AT36" s="536"/>
      <c r="AU36" s="523"/>
      <c r="AV36" s="536"/>
      <c r="AW36" s="523"/>
      <c r="AX36" s="446"/>
      <c r="AY36" s="195"/>
      <c r="AZ36" s="700">
        <v>27</v>
      </c>
      <c r="BA36" s="691" t="s">
        <v>384</v>
      </c>
      <c r="BB36" s="692" t="s">
        <v>78</v>
      </c>
      <c r="BC36" s="79" t="s">
        <v>82</v>
      </c>
      <c r="BD36" s="541"/>
      <c r="BE36" s="79" t="str">
        <f t="shared" si="14"/>
        <v>N/A</v>
      </c>
      <c r="BF36" s="540"/>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6">
        <v>28</v>
      </c>
      <c r="D37" s="573" t="s">
        <v>515</v>
      </c>
      <c r="E37" s="226" t="s">
        <v>298</v>
      </c>
      <c r="F37" s="536"/>
      <c r="G37" s="523"/>
      <c r="H37" s="536"/>
      <c r="I37" s="523"/>
      <c r="J37" s="536"/>
      <c r="K37" s="523"/>
      <c r="L37" s="536"/>
      <c r="M37" s="523"/>
      <c r="N37" s="536"/>
      <c r="O37" s="523"/>
      <c r="P37" s="536"/>
      <c r="Q37" s="523"/>
      <c r="R37" s="536"/>
      <c r="S37" s="523"/>
      <c r="T37" s="536"/>
      <c r="U37" s="523"/>
      <c r="V37" s="536"/>
      <c r="W37" s="523"/>
      <c r="X37" s="536"/>
      <c r="Y37" s="523"/>
      <c r="Z37" s="536"/>
      <c r="AA37" s="523"/>
      <c r="AB37" s="536"/>
      <c r="AC37" s="523"/>
      <c r="AD37" s="536"/>
      <c r="AE37" s="523"/>
      <c r="AF37" s="536"/>
      <c r="AG37" s="523"/>
      <c r="AH37" s="536"/>
      <c r="AI37" s="523"/>
      <c r="AJ37" s="536"/>
      <c r="AK37" s="523"/>
      <c r="AL37" s="536"/>
      <c r="AM37" s="523"/>
      <c r="AN37" s="536"/>
      <c r="AO37" s="523"/>
      <c r="AP37" s="536"/>
      <c r="AQ37" s="523"/>
      <c r="AR37" s="536"/>
      <c r="AS37" s="523"/>
      <c r="AT37" s="536"/>
      <c r="AU37" s="523"/>
      <c r="AV37" s="536"/>
      <c r="AW37" s="523"/>
      <c r="AX37" s="446"/>
      <c r="AY37" s="195"/>
      <c r="AZ37" s="701">
        <v>28</v>
      </c>
      <c r="BA37" s="691" t="s">
        <v>519</v>
      </c>
      <c r="BB37" s="692" t="s">
        <v>78</v>
      </c>
      <c r="BC37" s="79"/>
      <c r="BD37" s="541"/>
      <c r="BE37" s="79" t="str">
        <f t="shared" si="14"/>
        <v>N/A</v>
      </c>
      <c r="BF37" s="540"/>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4">
        <v>29</v>
      </c>
      <c r="D38" s="572" t="s">
        <v>588</v>
      </c>
      <c r="E38" s="226" t="s">
        <v>298</v>
      </c>
      <c r="F38" s="547"/>
      <c r="G38" s="523"/>
      <c r="H38" s="547"/>
      <c r="I38" s="523"/>
      <c r="J38" s="547"/>
      <c r="K38" s="523"/>
      <c r="L38" s="547"/>
      <c r="M38" s="523"/>
      <c r="N38" s="547"/>
      <c r="O38" s="523"/>
      <c r="P38" s="547"/>
      <c r="Q38" s="523"/>
      <c r="R38" s="547"/>
      <c r="S38" s="523"/>
      <c r="T38" s="547"/>
      <c r="U38" s="523"/>
      <c r="V38" s="547"/>
      <c r="W38" s="523"/>
      <c r="X38" s="547"/>
      <c r="Y38" s="523"/>
      <c r="Z38" s="547"/>
      <c r="AA38" s="523"/>
      <c r="AB38" s="547"/>
      <c r="AC38" s="523"/>
      <c r="AD38" s="547"/>
      <c r="AE38" s="523"/>
      <c r="AF38" s="547"/>
      <c r="AG38" s="523"/>
      <c r="AH38" s="547"/>
      <c r="AI38" s="523"/>
      <c r="AJ38" s="547"/>
      <c r="AK38" s="523"/>
      <c r="AL38" s="547"/>
      <c r="AM38" s="523"/>
      <c r="AN38" s="547"/>
      <c r="AO38" s="523"/>
      <c r="AP38" s="547"/>
      <c r="AQ38" s="523"/>
      <c r="AR38" s="547"/>
      <c r="AS38" s="523"/>
      <c r="AT38" s="547"/>
      <c r="AU38" s="523"/>
      <c r="AV38" s="547"/>
      <c r="AW38" s="523"/>
      <c r="AX38" s="446"/>
      <c r="AY38" s="195"/>
      <c r="AZ38" s="702">
        <v>29</v>
      </c>
      <c r="BA38" s="703" t="s">
        <v>567</v>
      </c>
      <c r="BB38" s="692" t="s">
        <v>78</v>
      </c>
      <c r="BC38" s="79" t="s">
        <v>82</v>
      </c>
      <c r="BD38" s="541"/>
      <c r="BE38" s="79" t="str">
        <f t="shared" si="14"/>
        <v>N/A</v>
      </c>
      <c r="BF38" s="540"/>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6">
        <v>30</v>
      </c>
      <c r="D39" s="573" t="s">
        <v>516</v>
      </c>
      <c r="E39" s="226" t="s">
        <v>298</v>
      </c>
      <c r="F39" s="557"/>
      <c r="G39" s="524"/>
      <c r="H39" s="557"/>
      <c r="I39" s="524"/>
      <c r="J39" s="557"/>
      <c r="K39" s="524"/>
      <c r="L39" s="557"/>
      <c r="M39" s="524"/>
      <c r="N39" s="557"/>
      <c r="O39" s="524"/>
      <c r="P39" s="557"/>
      <c r="Q39" s="524"/>
      <c r="R39" s="557"/>
      <c r="S39" s="524"/>
      <c r="T39" s="557"/>
      <c r="U39" s="524"/>
      <c r="V39" s="557"/>
      <c r="W39" s="524"/>
      <c r="X39" s="557"/>
      <c r="Y39" s="524"/>
      <c r="Z39" s="557"/>
      <c r="AA39" s="524"/>
      <c r="AB39" s="557"/>
      <c r="AC39" s="524"/>
      <c r="AD39" s="557"/>
      <c r="AE39" s="524"/>
      <c r="AF39" s="557"/>
      <c r="AG39" s="524"/>
      <c r="AH39" s="557"/>
      <c r="AI39" s="524"/>
      <c r="AJ39" s="557"/>
      <c r="AK39" s="524"/>
      <c r="AL39" s="557"/>
      <c r="AM39" s="524"/>
      <c r="AN39" s="557"/>
      <c r="AO39" s="524"/>
      <c r="AP39" s="557"/>
      <c r="AQ39" s="524"/>
      <c r="AR39" s="557"/>
      <c r="AS39" s="524"/>
      <c r="AT39" s="557"/>
      <c r="AU39" s="524"/>
      <c r="AV39" s="557"/>
      <c r="AW39" s="524"/>
      <c r="AX39" s="446"/>
      <c r="AY39" s="195"/>
      <c r="AZ39" s="701">
        <v>30</v>
      </c>
      <c r="BA39" s="691" t="s">
        <v>516</v>
      </c>
      <c r="BB39" s="692" t="s">
        <v>78</v>
      </c>
      <c r="BC39" s="79"/>
      <c r="BD39" s="541"/>
      <c r="BE39" s="79" t="str">
        <f t="shared" si="14"/>
        <v>N/A</v>
      </c>
      <c r="BF39" s="540"/>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4">
        <v>31</v>
      </c>
      <c r="D40" s="610" t="s">
        <v>317</v>
      </c>
      <c r="E40" s="344" t="s">
        <v>298</v>
      </c>
      <c r="F40" s="548"/>
      <c r="G40" s="525"/>
      <c r="H40" s="548"/>
      <c r="I40" s="525"/>
      <c r="J40" s="548"/>
      <c r="K40" s="525"/>
      <c r="L40" s="548"/>
      <c r="M40" s="525"/>
      <c r="N40" s="548"/>
      <c r="O40" s="525"/>
      <c r="P40" s="548"/>
      <c r="Q40" s="525"/>
      <c r="R40" s="548"/>
      <c r="S40" s="525"/>
      <c r="T40" s="548"/>
      <c r="U40" s="525"/>
      <c r="V40" s="548"/>
      <c r="W40" s="525"/>
      <c r="X40" s="548"/>
      <c r="Y40" s="525"/>
      <c r="Z40" s="548"/>
      <c r="AA40" s="525"/>
      <c r="AB40" s="548"/>
      <c r="AC40" s="525"/>
      <c r="AD40" s="548"/>
      <c r="AE40" s="525"/>
      <c r="AF40" s="548"/>
      <c r="AG40" s="525"/>
      <c r="AH40" s="548"/>
      <c r="AI40" s="525"/>
      <c r="AJ40" s="548"/>
      <c r="AK40" s="525"/>
      <c r="AL40" s="548"/>
      <c r="AM40" s="525"/>
      <c r="AN40" s="548"/>
      <c r="AO40" s="525"/>
      <c r="AP40" s="548"/>
      <c r="AQ40" s="525"/>
      <c r="AR40" s="548"/>
      <c r="AS40" s="525"/>
      <c r="AT40" s="548"/>
      <c r="AU40" s="525"/>
      <c r="AV40" s="548"/>
      <c r="AW40" s="525"/>
      <c r="AX40" s="446"/>
      <c r="AY40" s="195"/>
      <c r="AZ40" s="702">
        <v>31</v>
      </c>
      <c r="BA40" s="704" t="s">
        <v>385</v>
      </c>
      <c r="BB40" s="692" t="s">
        <v>78</v>
      </c>
      <c r="BC40" s="79" t="s">
        <v>82</v>
      </c>
      <c r="BD40" s="541"/>
      <c r="BE40" s="79" t="str">
        <f t="shared" si="14"/>
        <v>N/A</v>
      </c>
      <c r="BF40" s="540"/>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5" t="s">
        <v>512</v>
      </c>
      <c r="BA41" s="706"/>
      <c r="BB41" s="706"/>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4" t="s">
        <v>195</v>
      </c>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Z42" s="707" t="s">
        <v>286</v>
      </c>
      <c r="BA42" s="707" t="s">
        <v>287</v>
      </c>
      <c r="BB42" s="707"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4" t="s">
        <v>250</v>
      </c>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4"/>
      <c r="AZ43" s="693"/>
      <c r="BA43" s="708" t="s">
        <v>20</v>
      </c>
      <c r="BB43" s="693"/>
      <c r="BC43" s="82"/>
      <c r="BD43" s="541"/>
      <c r="BE43" s="82"/>
      <c r="BF43" s="541"/>
      <c r="BG43" s="82"/>
      <c r="BH43" s="541"/>
      <c r="BI43" s="82"/>
      <c r="BJ43" s="541"/>
      <c r="BK43" s="81"/>
      <c r="BL43" s="541"/>
      <c r="BM43" s="81"/>
      <c r="BN43" s="541"/>
      <c r="BO43" s="81"/>
      <c r="BP43" s="541"/>
      <c r="BQ43" s="81"/>
      <c r="BR43" s="541"/>
      <c r="BS43" s="81"/>
      <c r="BT43" s="541"/>
      <c r="BU43" s="81"/>
      <c r="BV43" s="541"/>
      <c r="BW43" s="82"/>
      <c r="BX43" s="541"/>
      <c r="BY43" s="81"/>
      <c r="BZ43" s="541"/>
      <c r="CA43" s="81"/>
      <c r="CB43" s="541"/>
      <c r="CC43" s="81"/>
      <c r="CD43" s="541"/>
      <c r="CE43" s="81"/>
      <c r="CF43" s="541"/>
      <c r="CG43" s="81"/>
      <c r="CH43" s="541"/>
      <c r="CI43" s="81"/>
      <c r="CJ43" s="541"/>
      <c r="CK43" s="81"/>
      <c r="CL43" s="541"/>
      <c r="CM43" s="81"/>
      <c r="CN43" s="541"/>
      <c r="CO43" s="81"/>
      <c r="CP43" s="541"/>
      <c r="CQ43" s="81"/>
      <c r="CR43" s="541"/>
      <c r="CS43" s="81"/>
      <c r="CT43" s="541"/>
    </row>
    <row r="44" spans="3:98" ht="10.5" customHeight="1">
      <c r="C44" s="245" t="s">
        <v>142</v>
      </c>
      <c r="D44" s="872" t="s">
        <v>637</v>
      </c>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246"/>
      <c r="AZ44" s="709"/>
      <c r="BA44" s="710"/>
      <c r="BB44" s="709"/>
      <c r="BC44" s="79"/>
      <c r="BD44" s="540"/>
      <c r="BE44" s="79"/>
      <c r="BF44" s="540"/>
      <c r="BG44" s="79"/>
      <c r="BH44" s="540"/>
      <c r="BI44" s="79"/>
      <c r="BJ44" s="540"/>
      <c r="BK44" s="96"/>
      <c r="BL44" s="540"/>
      <c r="BM44" s="96"/>
      <c r="BN44" s="540"/>
      <c r="BO44" s="96"/>
      <c r="BP44" s="540"/>
      <c r="BQ44" s="96"/>
      <c r="BR44" s="540"/>
      <c r="BS44" s="96"/>
      <c r="BT44" s="540"/>
      <c r="BU44" s="96"/>
      <c r="BV44" s="540"/>
      <c r="BW44" s="79"/>
      <c r="BX44" s="540"/>
      <c r="BY44" s="96"/>
      <c r="BZ44" s="540"/>
      <c r="CA44" s="96"/>
      <c r="CB44" s="540"/>
      <c r="CC44" s="96"/>
      <c r="CD44" s="540"/>
      <c r="CE44" s="96"/>
      <c r="CF44" s="540"/>
      <c r="CG44" s="96"/>
      <c r="CH44" s="540"/>
      <c r="CI44" s="96"/>
      <c r="CJ44" s="540"/>
      <c r="CK44" s="96"/>
      <c r="CL44" s="540"/>
      <c r="CM44" s="96"/>
      <c r="CN44" s="540"/>
      <c r="CO44" s="96"/>
      <c r="CP44" s="540"/>
      <c r="CQ44" s="96"/>
      <c r="CR44" s="540"/>
      <c r="CS44" s="96"/>
      <c r="CT44" s="540"/>
    </row>
    <row r="45" spans="3:98" ht="10.5" customHeight="1">
      <c r="C45" s="245" t="s">
        <v>142</v>
      </c>
      <c r="D45" s="872" t="s">
        <v>623</v>
      </c>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246"/>
      <c r="AZ45" s="709"/>
      <c r="BA45" s="710"/>
      <c r="BB45" s="709"/>
      <c r="BC45" s="79"/>
      <c r="BD45" s="540"/>
      <c r="BE45" s="79"/>
      <c r="BF45" s="540"/>
      <c r="BG45" s="79"/>
      <c r="BH45" s="540"/>
      <c r="BI45" s="79"/>
      <c r="BJ45" s="540"/>
      <c r="BK45" s="96"/>
      <c r="BL45" s="540"/>
      <c r="BM45" s="96"/>
      <c r="BN45" s="540"/>
      <c r="BO45" s="96"/>
      <c r="BP45" s="540"/>
      <c r="BQ45" s="96"/>
      <c r="BR45" s="540"/>
      <c r="BS45" s="96"/>
      <c r="BT45" s="540"/>
      <c r="BU45" s="96"/>
      <c r="BV45" s="540"/>
      <c r="BW45" s="79"/>
      <c r="BX45" s="540"/>
      <c r="BY45" s="96"/>
      <c r="BZ45" s="540"/>
      <c r="CA45" s="96"/>
      <c r="CB45" s="540"/>
      <c r="CC45" s="96"/>
      <c r="CD45" s="540"/>
      <c r="CE45" s="96"/>
      <c r="CF45" s="540"/>
      <c r="CG45" s="96"/>
      <c r="CH45" s="540"/>
      <c r="CI45" s="96"/>
      <c r="CJ45" s="540"/>
      <c r="CK45" s="96"/>
      <c r="CL45" s="540"/>
      <c r="CM45" s="96"/>
      <c r="CN45" s="540"/>
      <c r="CO45" s="96"/>
      <c r="CP45" s="540"/>
      <c r="CQ45" s="96"/>
      <c r="CR45" s="540"/>
      <c r="CS45" s="96"/>
      <c r="CT45" s="540"/>
    </row>
    <row r="46" spans="1:112" s="175" customFormat="1" ht="9.75" customHeight="1">
      <c r="A46" s="247"/>
      <c r="B46" s="247"/>
      <c r="C46" s="245" t="s">
        <v>142</v>
      </c>
      <c r="D46" s="824" t="s">
        <v>143</v>
      </c>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24"/>
      <c r="AS46" s="824"/>
      <c r="AT46" s="824"/>
      <c r="AU46" s="824"/>
      <c r="AV46" s="824"/>
      <c r="AW46" s="824"/>
      <c r="AX46" s="824"/>
      <c r="AY46" s="347"/>
      <c r="AZ46" s="709">
        <v>3</v>
      </c>
      <c r="BA46" s="711" t="s">
        <v>120</v>
      </c>
      <c r="BB46" s="690" t="s">
        <v>78</v>
      </c>
      <c r="BC46" s="79">
        <f>F10</f>
        <v>261</v>
      </c>
      <c r="BD46" s="79"/>
      <c r="BE46" s="79">
        <f>H10</f>
        <v>301</v>
      </c>
      <c r="BF46" s="79"/>
      <c r="BG46" s="79">
        <f>J10</f>
        <v>252</v>
      </c>
      <c r="BH46" s="79"/>
      <c r="BI46" s="79">
        <f>L10</f>
        <v>252</v>
      </c>
      <c r="BJ46" s="79"/>
      <c r="BK46" s="79">
        <f>N10</f>
        <v>111</v>
      </c>
      <c r="BL46" s="79"/>
      <c r="BM46" s="79">
        <f>P10</f>
        <v>298</v>
      </c>
      <c r="BN46" s="79"/>
      <c r="BO46" s="79">
        <f>R10</f>
        <v>320</v>
      </c>
      <c r="BP46" s="79"/>
      <c r="BQ46" s="79">
        <f>T10</f>
        <v>187</v>
      </c>
      <c r="BR46" s="79"/>
      <c r="BS46" s="79">
        <f>V10</f>
        <v>332</v>
      </c>
      <c r="BT46" s="79"/>
      <c r="BU46" s="79">
        <f>X10</f>
        <v>220</v>
      </c>
      <c r="BV46" s="79"/>
      <c r="BW46" s="79">
        <f>Z10</f>
        <v>228</v>
      </c>
      <c r="BX46" s="79"/>
      <c r="BY46" s="79">
        <f>AB10</f>
        <v>103</v>
      </c>
      <c r="BZ46" s="79"/>
      <c r="CA46" s="79">
        <f>AD10</f>
        <v>217</v>
      </c>
      <c r="CB46" s="79"/>
      <c r="CC46" s="79">
        <f>AF10</f>
        <v>336</v>
      </c>
      <c r="CD46" s="79"/>
      <c r="CE46" s="79">
        <f>AH10</f>
        <v>228</v>
      </c>
      <c r="CF46" s="79"/>
      <c r="CG46" s="79">
        <f>AJ10</f>
        <v>226</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4" t="s">
        <v>110</v>
      </c>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347"/>
      <c r="AZ47" s="712">
        <v>32</v>
      </c>
      <c r="BA47" s="713" t="s">
        <v>223</v>
      </c>
      <c r="BB47" s="690" t="s">
        <v>78</v>
      </c>
      <c r="BC47" s="82">
        <f>F8+F9</f>
        <v>261</v>
      </c>
      <c r="BD47" s="82"/>
      <c r="BE47" s="82">
        <f>H8+H9</f>
        <v>301</v>
      </c>
      <c r="BF47" s="82"/>
      <c r="BG47" s="82">
        <f>J8+J9</f>
        <v>252</v>
      </c>
      <c r="BH47" s="82"/>
      <c r="BI47" s="82">
        <f>L8+L9</f>
        <v>252</v>
      </c>
      <c r="BJ47" s="82"/>
      <c r="BK47" s="82">
        <f>N8+N9</f>
        <v>111</v>
      </c>
      <c r="BL47" s="82"/>
      <c r="BM47" s="82">
        <f>P8+P9</f>
        <v>298</v>
      </c>
      <c r="BN47" s="82"/>
      <c r="BO47" s="82">
        <f>R8+R9</f>
        <v>320</v>
      </c>
      <c r="BP47" s="82"/>
      <c r="BQ47" s="82">
        <f>T8+T9</f>
        <v>187</v>
      </c>
      <c r="BR47" s="82"/>
      <c r="BS47" s="82">
        <f>V8+V9</f>
        <v>332</v>
      </c>
      <c r="BT47" s="82"/>
      <c r="BU47" s="82">
        <f>X8+X9</f>
        <v>220</v>
      </c>
      <c r="BV47" s="82"/>
      <c r="BW47" s="82">
        <f>Z8+Z9</f>
        <v>228</v>
      </c>
      <c r="BX47" s="82"/>
      <c r="BY47" s="82">
        <f>AB8+AB9</f>
        <v>103</v>
      </c>
      <c r="BZ47" s="82"/>
      <c r="CA47" s="82">
        <f>AD8+AD9</f>
        <v>217</v>
      </c>
      <c r="CB47" s="82"/>
      <c r="CC47" s="82">
        <f>AF8+AF9</f>
        <v>336</v>
      </c>
      <c r="CD47" s="82"/>
      <c r="CE47" s="82">
        <f>AH8+AH9</f>
        <v>228</v>
      </c>
      <c r="CF47" s="82"/>
      <c r="CG47" s="82">
        <f>AJ8+AJ9</f>
        <v>226</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347"/>
      <c r="AZ48" s="714" t="s">
        <v>176</v>
      </c>
      <c r="BA48" s="713" t="s">
        <v>601</v>
      </c>
      <c r="BB48" s="690"/>
      <c r="BC48" s="79" t="str">
        <f>IF(OR(ISBLANK(F8),ISBLANK(F9),ISBLANK(F10)),"N/A",IF((BC46=BC47),"ok","&lt;&gt;"))</f>
        <v>ok</v>
      </c>
      <c r="BD48" s="79"/>
      <c r="BE48" s="79" t="str">
        <f>IF(OR(ISBLANK(H8),ISBLANK(H9),ISBLANK(H10)),"N/A",IF((BE46=BE47),"ok","&lt;&gt;"))</f>
        <v>ok</v>
      </c>
      <c r="BF48" s="79"/>
      <c r="BG48" s="79" t="str">
        <f>IF(OR(ISBLANK(J8),ISBLANK(J9),ISBLANK(J10)),"N/A",IF((BG46=BG47),"ok","&lt;&gt;"))</f>
        <v>ok</v>
      </c>
      <c r="BH48" s="79"/>
      <c r="BI48" s="79" t="str">
        <f>IF(OR(ISBLANK(L8),ISBLANK(L9),ISBLANK(L10)),"N/A",IF((BI46=BI47),"ok","&lt;&gt;"))</f>
        <v>ok</v>
      </c>
      <c r="BJ48" s="79"/>
      <c r="BK48" s="79" t="str">
        <f>IF(OR(ISBLANK(N8),ISBLANK(N9),ISBLANK(N10)),"N/A",IF((BK46=BK47),"ok","&lt;&gt;"))</f>
        <v>ok</v>
      </c>
      <c r="BL48" s="79"/>
      <c r="BM48" s="79" t="str">
        <f>IF(OR(ISBLANK(P8),ISBLANK(P9),ISBLANK(P10)),"N/A",IF((BM46=BM47),"ok","&lt;&gt;"))</f>
        <v>ok</v>
      </c>
      <c r="BN48" s="79"/>
      <c r="BO48" s="79" t="str">
        <f>IF(OR(ISBLANK(R8),ISBLANK(R9),ISBLANK(R10)),"N/A",IF((BO46=BO47),"ok","&lt;&gt;"))</f>
        <v>ok</v>
      </c>
      <c r="BP48" s="79"/>
      <c r="BQ48" s="79" t="str">
        <f>IF(OR(ISBLANK(T8),ISBLANK(T9),ISBLANK(T10)),"N/A",IF((BQ46=BQ47),"ok","&lt;&gt;"))</f>
        <v>ok</v>
      </c>
      <c r="BR48" s="79"/>
      <c r="BS48" s="79" t="str">
        <f>IF(OR(ISBLANK(V8),ISBLANK(V9),ISBLANK(V10)),"N/A",IF((BS46=BS47),"ok","&lt;&gt;"))</f>
        <v>ok</v>
      </c>
      <c r="BT48" s="79"/>
      <c r="BU48" s="79" t="str">
        <f>IF(OR(ISBLANK(X8),ISBLANK(X9),ISBLANK(X10)),"N/A",IF((BU46=BU47),"ok","&lt;&gt;"))</f>
        <v>ok</v>
      </c>
      <c r="BV48" s="79"/>
      <c r="BW48" s="79" t="str">
        <f>IF(OR(ISBLANK(Z8),ISBLANK(Z9),ISBLANK(Z10)),"N/A",IF((BW46=BW47),"ok","&lt;&gt;"))</f>
        <v>ok</v>
      </c>
      <c r="BX48" s="79"/>
      <c r="BY48" s="79" t="str">
        <f>IF(OR(ISBLANK(AB8),ISBLANK(AB9),ISBLANK(AB10)),"N/A",IF((BY46=BY47),"ok","&lt;&gt;"))</f>
        <v>ok</v>
      </c>
      <c r="BZ48" s="79"/>
      <c r="CA48" s="79" t="str">
        <f>IF(OR(ISBLANK(AD8),ISBLANK(AD9),ISBLANK(AD10)),"N/A",IF((CA46=CA47),"ok","&lt;&gt;"))</f>
        <v>ok</v>
      </c>
      <c r="CB48" s="79"/>
      <c r="CC48" s="79" t="str">
        <f>IF(OR(ISBLANK(AF8),ISBLANK(AF9),ISBLANK(AF10)),"N/A",IF((CC46=CC47),"ok","&lt;&gt;"))</f>
        <v>ok</v>
      </c>
      <c r="CD48" s="79"/>
      <c r="CE48" s="79" t="str">
        <f>IF(OR(ISBLANK(AH8),ISBLANK(AH9),ISBLANK(AH10)),"N/A",IF((CE46=CE47),"ok","&lt;&gt;"))</f>
        <v>ok</v>
      </c>
      <c r="CF48" s="79"/>
      <c r="CG48" s="79" t="str">
        <f>IF(OR(ISBLANK(AJ8),ISBLANK(AJ9),ISBLANK(AJ10)),"N/A",IF((CG46=CG47),"ok","&lt;&gt;"))</f>
        <v>ok</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49"/>
      <c r="F49" s="800"/>
      <c r="G49" s="800"/>
      <c r="H49" s="800"/>
      <c r="I49" s="800"/>
      <c r="J49" s="800"/>
      <c r="K49" s="800"/>
      <c r="L49" s="800"/>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347"/>
      <c r="AZ49" s="693">
        <v>20</v>
      </c>
      <c r="BA49" s="715" t="s">
        <v>602</v>
      </c>
      <c r="BB49" s="690" t="s">
        <v>78</v>
      </c>
      <c r="BC49" s="82">
        <f>F28</f>
        <v>967</v>
      </c>
      <c r="BD49" s="82"/>
      <c r="BE49" s="82">
        <f>H28</f>
        <v>1030</v>
      </c>
      <c r="BF49" s="82"/>
      <c r="BG49" s="82">
        <f>J28</f>
        <v>996</v>
      </c>
      <c r="BH49" s="82"/>
      <c r="BI49" s="82">
        <f>L28</f>
        <v>1012</v>
      </c>
      <c r="BJ49" s="82"/>
      <c r="BK49" s="82">
        <f>N28</f>
        <v>919</v>
      </c>
      <c r="BL49" s="82"/>
      <c r="BM49" s="82">
        <f>P28</f>
        <v>1069</v>
      </c>
      <c r="BN49" s="82"/>
      <c r="BO49" s="82">
        <f>R28</f>
        <v>937</v>
      </c>
      <c r="BP49" s="82"/>
      <c r="BQ49" s="82">
        <f>T28</f>
        <v>902</v>
      </c>
      <c r="BR49" s="82"/>
      <c r="BS49" s="82">
        <f>V28</f>
        <v>985</v>
      </c>
      <c r="BT49" s="82"/>
      <c r="BU49" s="82">
        <f>X28</f>
        <v>945</v>
      </c>
      <c r="BV49" s="82"/>
      <c r="BW49" s="82">
        <f>Z28</f>
        <v>909</v>
      </c>
      <c r="BX49" s="82"/>
      <c r="BY49" s="82">
        <f>AB28</f>
        <v>921</v>
      </c>
      <c r="BZ49" s="82"/>
      <c r="CA49" s="82">
        <f>AD28</f>
        <v>926</v>
      </c>
      <c r="CB49" s="82"/>
      <c r="CC49" s="82">
        <f>AF28</f>
        <v>948</v>
      </c>
      <c r="CD49" s="82"/>
      <c r="CE49" s="82">
        <f>AH28</f>
        <v>952</v>
      </c>
      <c r="CF49" s="82"/>
      <c r="CG49" s="82">
        <f>AJ28</f>
        <v>992</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4"/>
      <c r="E50" s="628"/>
      <c r="F50" s="594"/>
      <c r="G50" s="594"/>
      <c r="H50" s="594"/>
      <c r="I50" s="594"/>
      <c r="J50" s="594"/>
      <c r="K50" s="594"/>
      <c r="L50" s="856" t="str">
        <f>D11&amp;" (W2,4)"</f>
        <v>Water returned without use (W2,4)</v>
      </c>
      <c r="M50" s="867"/>
      <c r="N50" s="867"/>
      <c r="O50" s="867"/>
      <c r="P50" s="868"/>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347"/>
      <c r="AZ50" s="712">
        <v>33</v>
      </c>
      <c r="BA50" s="716" t="s">
        <v>603</v>
      </c>
      <c r="BB50" s="690" t="s">
        <v>78</v>
      </c>
      <c r="BC50" s="82">
        <f>F12+F24+F25+F26-F27</f>
        <v>706</v>
      </c>
      <c r="BD50" s="82"/>
      <c r="BE50" s="82">
        <f>H12+H24+H25+H26-H27</f>
        <v>729</v>
      </c>
      <c r="BF50" s="82"/>
      <c r="BG50" s="82">
        <f>J12+J24+J25+J26-J27</f>
        <v>744</v>
      </c>
      <c r="BH50" s="82"/>
      <c r="BI50" s="82">
        <f>L12+L24+L25+L26-L27</f>
        <v>760</v>
      </c>
      <c r="BJ50" s="82"/>
      <c r="BK50" s="82">
        <f>N12+N24+N25+N26-N27</f>
        <v>808</v>
      </c>
      <c r="BL50" s="82"/>
      <c r="BM50" s="82">
        <f>P12+P24+P25+P26-P27</f>
        <v>771</v>
      </c>
      <c r="BN50" s="82"/>
      <c r="BO50" s="82">
        <f>R12+R24+R25+R26-R27</f>
        <v>617</v>
      </c>
      <c r="BP50" s="82"/>
      <c r="BQ50" s="82">
        <f>T12+T24+T25+T26-T27</f>
        <v>715</v>
      </c>
      <c r="BR50" s="82"/>
      <c r="BS50" s="82">
        <f>V12+V24+V25+V26-V27</f>
        <v>653</v>
      </c>
      <c r="BT50" s="82"/>
      <c r="BU50" s="82">
        <f>X12+X24+X25+X26-X27</f>
        <v>725</v>
      </c>
      <c r="BV50" s="82"/>
      <c r="BW50" s="82">
        <f>Z12+Z24+Z25+Z26-Z27</f>
        <v>681</v>
      </c>
      <c r="BX50" s="82"/>
      <c r="BY50" s="82">
        <f>AB12+AB24+AB25+AB26-AB27</f>
        <v>818</v>
      </c>
      <c r="BZ50" s="82"/>
      <c r="CA50" s="82">
        <f>AD12+AD24+AD25+AD26-AD27</f>
        <v>709</v>
      </c>
      <c r="CB50" s="82"/>
      <c r="CC50" s="82">
        <f>AF12+AF24+AF25+AF26-AF27</f>
        <v>612</v>
      </c>
      <c r="CD50" s="82"/>
      <c r="CE50" s="82">
        <f>AH12+AH24+AH25+AH26-AH27</f>
        <v>724</v>
      </c>
      <c r="CF50" s="82"/>
      <c r="CG50" s="82">
        <f>AJ12+AJ24+AJ25+AJ26-AJ27</f>
        <v>766</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6" t="str">
        <f>LEFT(D12,LEN(D12)-7)&amp;" (W2,5)"</f>
        <v>Net freshwater abstracted (W2,5)</v>
      </c>
      <c r="F51" s="793"/>
      <c r="G51" s="793"/>
      <c r="H51" s="866"/>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0"/>
      <c r="AR51" s="800"/>
      <c r="AS51" s="800"/>
      <c r="AT51" s="800"/>
      <c r="AU51" s="800"/>
      <c r="AV51" s="800"/>
      <c r="AW51" s="800"/>
      <c r="AX51" s="191"/>
      <c r="AY51" s="195"/>
      <c r="AZ51" s="714" t="s">
        <v>176</v>
      </c>
      <c r="BA51" s="713" t="s">
        <v>568</v>
      </c>
      <c r="BB51" s="690"/>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29"/>
      <c r="F52" s="253"/>
      <c r="G52" s="253"/>
      <c r="H52" s="253"/>
      <c r="I52" s="253"/>
      <c r="J52" s="253"/>
      <c r="K52" s="253"/>
      <c r="L52" s="595"/>
      <c r="M52" s="254"/>
      <c r="N52" s="254"/>
      <c r="O52" s="254"/>
      <c r="P52" s="254"/>
      <c r="Q52" s="254"/>
      <c r="R52" s="254"/>
      <c r="S52" s="254"/>
      <c r="T52" s="254"/>
      <c r="U52" s="254"/>
      <c r="V52" s="254"/>
      <c r="W52" s="254"/>
      <c r="X52" s="253"/>
      <c r="Y52" s="253"/>
      <c r="Z52" s="253"/>
      <c r="AK52" s="493"/>
      <c r="AL52" s="493"/>
      <c r="AM52" s="493"/>
      <c r="AN52" s="493"/>
      <c r="AO52" s="493"/>
      <c r="AP52" s="496"/>
      <c r="AQ52" s="800"/>
      <c r="AR52" s="800"/>
      <c r="AS52" s="800"/>
      <c r="AT52" s="800"/>
      <c r="AU52" s="800"/>
      <c r="AV52" s="800"/>
      <c r="AW52" s="800"/>
      <c r="AX52" s="191"/>
      <c r="AZ52" s="693">
        <v>5</v>
      </c>
      <c r="BA52" s="711" t="s">
        <v>615</v>
      </c>
      <c r="BB52" s="690"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1" t="str">
        <f>D24&amp;" (W2,16)"</f>
        <v>Desalinated water (W2,16)</v>
      </c>
      <c r="G53" s="842"/>
      <c r="H53" s="843"/>
      <c r="I53" s="493"/>
      <c r="J53" s="493"/>
      <c r="K53" s="493"/>
      <c r="L53" s="596"/>
      <c r="M53" s="596"/>
      <c r="N53" s="596"/>
      <c r="O53" s="596"/>
      <c r="P53" s="596"/>
      <c r="Q53" s="596"/>
      <c r="R53" s="596"/>
      <c r="S53" s="596"/>
      <c r="T53" s="596"/>
      <c r="U53" s="596"/>
      <c r="V53" s="596"/>
      <c r="W53" s="596"/>
      <c r="X53" s="493"/>
      <c r="Y53" s="493"/>
      <c r="Z53" s="253"/>
      <c r="AA53" s="511"/>
      <c r="AB53" s="511"/>
      <c r="AC53" s="493"/>
      <c r="AD53" s="493"/>
      <c r="AE53" s="253"/>
      <c r="AF53" s="511"/>
      <c r="AG53" s="511"/>
      <c r="AH53" s="511"/>
      <c r="AI53" s="495"/>
      <c r="AJ53" s="495"/>
      <c r="AK53" s="800"/>
      <c r="AL53" s="860"/>
      <c r="AM53" s="860"/>
      <c r="AN53" s="493"/>
      <c r="AO53" s="493"/>
      <c r="AP53" s="493"/>
      <c r="AQ53" s="554"/>
      <c r="AR53" s="554"/>
      <c r="AS53" s="554"/>
      <c r="AT53" s="554"/>
      <c r="AU53" s="554"/>
      <c r="AV53" s="554"/>
      <c r="AW53" s="554"/>
      <c r="AX53" s="191"/>
      <c r="AZ53" s="712">
        <v>34</v>
      </c>
      <c r="BA53" s="716" t="s">
        <v>606</v>
      </c>
      <c r="BB53" s="690"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47"/>
      <c r="G54" s="848"/>
      <c r="H54" s="849"/>
      <c r="I54" s="493"/>
      <c r="J54" s="493"/>
      <c r="K54" s="493"/>
      <c r="L54" s="493"/>
      <c r="M54" s="493"/>
      <c r="N54" s="493"/>
      <c r="O54" s="493"/>
      <c r="P54" s="493"/>
      <c r="Q54" s="493"/>
      <c r="R54" s="493"/>
      <c r="S54" s="493"/>
      <c r="T54" s="493"/>
      <c r="U54" s="861" t="s">
        <v>514</v>
      </c>
      <c r="V54" s="862"/>
      <c r="W54" s="493"/>
      <c r="X54" s="493"/>
      <c r="Y54" s="493"/>
      <c r="Z54" s="511"/>
      <c r="AK54" s="860"/>
      <c r="AL54" s="860"/>
      <c r="AM54" s="860"/>
      <c r="AN54" s="493"/>
      <c r="AO54" s="493"/>
      <c r="AP54" s="493"/>
      <c r="AQ54" s="800"/>
      <c r="AR54" s="860"/>
      <c r="AS54" s="860"/>
      <c r="AT54" s="860"/>
      <c r="AU54" s="860"/>
      <c r="AV54" s="860"/>
      <c r="AW54" s="860"/>
      <c r="AZ54" s="714" t="s">
        <v>176</v>
      </c>
      <c r="BA54" s="713" t="s">
        <v>616</v>
      </c>
      <c r="BB54" s="690"/>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1" t="str">
        <f>LEFT(D28,LEN(D28)-16)&amp;" (W2,20)"</f>
        <v>Total freshwater available for use  (W2,20)</v>
      </c>
      <c r="M55" s="842"/>
      <c r="N55" s="843"/>
      <c r="O55" s="493"/>
      <c r="P55" s="493"/>
      <c r="Q55" s="841" t="str">
        <f>LEFT(D30,LEN(D30)-8)&amp;" (W2,22)"</f>
        <v>Total freshwater use  (W2,22)</v>
      </c>
      <c r="R55" s="842"/>
      <c r="S55" s="843"/>
      <c r="U55" s="862"/>
      <c r="V55" s="862"/>
      <c r="W55" s="493"/>
      <c r="X55" s="493"/>
      <c r="Y55" s="493"/>
      <c r="Z55" s="511"/>
      <c r="AA55" s="856" t="str">
        <f>D32&amp;" (W2,23)"</f>
        <v>    Households  (W2,23)</v>
      </c>
      <c r="AB55" s="857"/>
      <c r="AC55" s="857"/>
      <c r="AD55" s="857"/>
      <c r="AE55" s="857"/>
      <c r="AF55" s="857"/>
      <c r="AG55" s="857"/>
      <c r="AH55" s="858"/>
      <c r="AI55" s="858"/>
      <c r="AJ55" s="859"/>
      <c r="AK55" s="860"/>
      <c r="AL55" s="860"/>
      <c r="AM55" s="860"/>
      <c r="AN55" s="853"/>
      <c r="AO55" s="854"/>
      <c r="AP55" s="493"/>
      <c r="AQ55" s="860"/>
      <c r="AR55" s="860"/>
      <c r="AS55" s="860"/>
      <c r="AT55" s="860"/>
      <c r="AU55" s="860"/>
      <c r="AV55" s="860"/>
      <c r="AW55" s="860"/>
      <c r="AZ55" s="693">
        <v>22</v>
      </c>
      <c r="BA55" s="711" t="s">
        <v>600</v>
      </c>
      <c r="BB55" s="690"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4"/>
      <c r="M56" s="845"/>
      <c r="N56" s="846"/>
      <c r="O56" s="493"/>
      <c r="P56" s="493"/>
      <c r="Q56" s="844"/>
      <c r="R56" s="845"/>
      <c r="S56" s="846"/>
      <c r="T56" s="493"/>
      <c r="U56" s="493"/>
      <c r="V56" s="493"/>
      <c r="W56" s="493"/>
      <c r="X56" s="493"/>
      <c r="Y56" s="493"/>
      <c r="Z56" s="495"/>
      <c r="AK56" s="860"/>
      <c r="AL56" s="860"/>
      <c r="AM56" s="860"/>
      <c r="AN56" s="855"/>
      <c r="AO56" s="854"/>
      <c r="AP56" s="493"/>
      <c r="AQ56" s="495"/>
      <c r="AR56" s="495"/>
      <c r="AS56" s="495"/>
      <c r="AT56" s="495"/>
      <c r="AU56" s="495"/>
      <c r="AV56" s="495"/>
      <c r="AW56" s="495"/>
      <c r="AZ56" s="712">
        <v>35</v>
      </c>
      <c r="BA56" s="713" t="s">
        <v>605</v>
      </c>
      <c r="BB56" s="690" t="s">
        <v>78</v>
      </c>
      <c r="BC56" s="79">
        <f>F28-F29</f>
        <v>967</v>
      </c>
      <c r="BD56" s="79"/>
      <c r="BE56" s="79">
        <f>H28-H29</f>
        <v>1030</v>
      </c>
      <c r="BF56" s="79"/>
      <c r="BG56" s="79">
        <f>J28-J29</f>
        <v>996</v>
      </c>
      <c r="BH56" s="79"/>
      <c r="BI56" s="79">
        <f>L28-L29</f>
        <v>1012</v>
      </c>
      <c r="BJ56" s="79"/>
      <c r="BK56" s="79">
        <f>N28-N29</f>
        <v>919</v>
      </c>
      <c r="BL56" s="79"/>
      <c r="BM56" s="79">
        <f>P28-P29</f>
        <v>1069</v>
      </c>
      <c r="BN56" s="79"/>
      <c r="BO56" s="79">
        <f>R28-R29</f>
        <v>937</v>
      </c>
      <c r="BP56" s="79"/>
      <c r="BQ56" s="79">
        <f>T28-T29</f>
        <v>902</v>
      </c>
      <c r="BR56" s="79"/>
      <c r="BS56" s="79">
        <f>V28-V29</f>
        <v>985</v>
      </c>
      <c r="BT56" s="79"/>
      <c r="BU56" s="79">
        <f>X28-X29</f>
        <v>945</v>
      </c>
      <c r="BV56" s="79"/>
      <c r="BW56" s="79">
        <f>Z28-Z29</f>
        <v>909</v>
      </c>
      <c r="BX56" s="79"/>
      <c r="BY56" s="79">
        <f>AB28-AB29</f>
        <v>921</v>
      </c>
      <c r="BZ56" s="79"/>
      <c r="CA56" s="79">
        <f>AD28-AD29</f>
        <v>926</v>
      </c>
      <c r="CB56" s="79"/>
      <c r="CC56" s="79">
        <f>AF28-AF29</f>
        <v>948</v>
      </c>
      <c r="CD56" s="79"/>
      <c r="CE56" s="79">
        <f>AH28-AH29</f>
        <v>952</v>
      </c>
      <c r="CF56" s="79"/>
      <c r="CG56" s="79">
        <f>AJ28-AJ29</f>
        <v>992</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6" t="str">
        <f>D25&amp;" (W2,17)"</f>
        <v>Reused water (W2,17)</v>
      </c>
      <c r="G57" s="793"/>
      <c r="H57" s="784"/>
      <c r="I57" s="493"/>
      <c r="J57" s="493"/>
      <c r="K57" s="493"/>
      <c r="L57" s="844"/>
      <c r="M57" s="845"/>
      <c r="N57" s="846"/>
      <c r="O57" s="493"/>
      <c r="P57" s="493"/>
      <c r="Q57" s="844"/>
      <c r="R57" s="845"/>
      <c r="S57" s="846"/>
      <c r="T57" s="493"/>
      <c r="U57" s="493"/>
      <c r="V57" s="493"/>
      <c r="W57" s="493"/>
      <c r="X57" s="493"/>
      <c r="Y57" s="493"/>
      <c r="Z57" s="253"/>
      <c r="AA57" s="850" t="str">
        <f>D33&amp;" (W2,24)"</f>
        <v>Agriculture, forestry and fishing (ISIC 01-03) (W2,24)</v>
      </c>
      <c r="AB57" s="793"/>
      <c r="AC57" s="793"/>
      <c r="AD57" s="793"/>
      <c r="AE57" s="793"/>
      <c r="AF57" s="793"/>
      <c r="AG57" s="793"/>
      <c r="AH57" s="851"/>
      <c r="AI57" s="851"/>
      <c r="AJ57" s="852"/>
      <c r="AK57" s="860"/>
      <c r="AL57" s="860"/>
      <c r="AM57" s="860"/>
      <c r="AN57" s="501"/>
      <c r="AO57" s="502"/>
      <c r="AP57" s="493"/>
      <c r="AQ57" s="800"/>
      <c r="AR57" s="800"/>
      <c r="AS57" s="800"/>
      <c r="AT57" s="800"/>
      <c r="AU57" s="800"/>
      <c r="AV57" s="800"/>
      <c r="AW57" s="800"/>
      <c r="AZ57" s="717" t="s">
        <v>176</v>
      </c>
      <c r="BA57" s="718" t="s">
        <v>604</v>
      </c>
      <c r="BB57" s="719"/>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4"/>
      <c r="M58" s="845"/>
      <c r="N58" s="846"/>
      <c r="O58" s="493"/>
      <c r="P58" s="493"/>
      <c r="Q58" s="844"/>
      <c r="R58" s="845"/>
      <c r="S58" s="846"/>
      <c r="T58" s="493"/>
      <c r="U58" s="493"/>
      <c r="V58" s="493"/>
      <c r="W58" s="493"/>
      <c r="X58" s="493"/>
      <c r="Y58" s="493"/>
      <c r="Z58" s="495"/>
      <c r="AA58" s="493"/>
      <c r="AB58" s="493"/>
      <c r="AC58" s="493"/>
      <c r="AD58" s="493"/>
      <c r="AE58" s="493"/>
      <c r="AF58" s="493"/>
      <c r="AG58" s="493"/>
      <c r="AH58" s="493"/>
      <c r="AI58" s="493"/>
      <c r="AJ58" s="493"/>
      <c r="AK58" s="860"/>
      <c r="AL58" s="860"/>
      <c r="AM58" s="860"/>
      <c r="AN58" s="493"/>
      <c r="AO58" s="493"/>
      <c r="AP58" s="493"/>
      <c r="AQ58" s="495"/>
      <c r="AR58" s="495"/>
      <c r="AS58" s="495"/>
      <c r="AT58" s="495"/>
      <c r="AU58" s="495"/>
      <c r="AV58" s="495"/>
      <c r="AW58" s="495"/>
      <c r="AY58" s="280"/>
      <c r="AZ58" s="720" t="s">
        <v>55</v>
      </c>
      <c r="BA58" s="721" t="s">
        <v>56</v>
      </c>
      <c r="BB58" s="722"/>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4"/>
      <c r="M59" s="845"/>
      <c r="N59" s="846"/>
      <c r="O59" s="493"/>
      <c r="P59" s="493"/>
      <c r="Q59" s="844"/>
      <c r="R59" s="845"/>
      <c r="S59" s="846"/>
      <c r="T59" s="493"/>
      <c r="U59" s="493"/>
      <c r="V59" s="493"/>
      <c r="W59" s="493"/>
      <c r="X59" s="493"/>
      <c r="Y59" s="493"/>
      <c r="Z59" s="495"/>
      <c r="AA59" s="850" t="str">
        <f>D35&amp;" (W2,26)"</f>
        <v>Mining and quarrying (ISIC 05-09) (W2,26)</v>
      </c>
      <c r="AB59" s="793"/>
      <c r="AC59" s="793"/>
      <c r="AD59" s="793"/>
      <c r="AE59" s="793"/>
      <c r="AF59" s="793"/>
      <c r="AG59" s="793"/>
      <c r="AH59" s="851"/>
      <c r="AI59" s="851"/>
      <c r="AJ59" s="852"/>
      <c r="AK59" s="511"/>
      <c r="AL59" s="511"/>
      <c r="AM59" s="511"/>
      <c r="AN59" s="493"/>
      <c r="AO59" s="493"/>
      <c r="AP59" s="493"/>
      <c r="AQ59" s="495"/>
      <c r="AR59" s="495"/>
      <c r="AS59" s="495"/>
      <c r="AT59" s="495"/>
      <c r="AU59" s="495"/>
      <c r="AV59" s="495"/>
      <c r="AW59" s="495"/>
      <c r="AY59" s="280"/>
      <c r="AZ59" s="720" t="s">
        <v>57</v>
      </c>
      <c r="BA59" s="721" t="s">
        <v>58</v>
      </c>
      <c r="BB59" s="722"/>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4"/>
      <c r="M60" s="845"/>
      <c r="N60" s="846"/>
      <c r="O60" s="493"/>
      <c r="P60" s="493"/>
      <c r="Q60" s="844"/>
      <c r="R60" s="845"/>
      <c r="S60" s="846"/>
      <c r="T60" s="493"/>
      <c r="U60" s="493"/>
      <c r="V60" s="493"/>
      <c r="W60" s="493"/>
      <c r="X60" s="493"/>
      <c r="Y60" s="493"/>
      <c r="Z60" s="495"/>
      <c r="AK60" s="511"/>
      <c r="AL60" s="511"/>
      <c r="AM60" s="511"/>
      <c r="AN60" s="493"/>
      <c r="AO60" s="493"/>
      <c r="AP60" s="493"/>
      <c r="AQ60" s="495"/>
      <c r="AR60" s="495"/>
      <c r="AS60" s="495"/>
      <c r="AT60" s="495"/>
      <c r="AU60" s="495"/>
      <c r="AV60" s="495"/>
      <c r="AW60" s="495"/>
      <c r="AY60" s="280"/>
      <c r="AZ60" s="723" t="s">
        <v>60</v>
      </c>
      <c r="BA60" s="721" t="s">
        <v>62</v>
      </c>
      <c r="BB60" s="722"/>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4"/>
      <c r="M61" s="845"/>
      <c r="N61" s="846"/>
      <c r="O61" s="493"/>
      <c r="P61" s="493"/>
      <c r="Q61" s="844"/>
      <c r="R61" s="845"/>
      <c r="S61" s="846"/>
      <c r="T61" s="493"/>
      <c r="U61" s="493"/>
      <c r="V61" s="493"/>
      <c r="W61" s="493"/>
      <c r="X61" s="493"/>
      <c r="Y61" s="493"/>
      <c r="Z61" s="495"/>
      <c r="AA61" s="850" t="str">
        <f>D36&amp;" (W2,27)"</f>
        <v>Manufacturing (ISIC 10-33) (W2,27)</v>
      </c>
      <c r="AB61" s="793"/>
      <c r="AC61" s="793"/>
      <c r="AD61" s="793"/>
      <c r="AE61" s="793"/>
      <c r="AF61" s="793"/>
      <c r="AG61" s="793"/>
      <c r="AH61" s="851"/>
      <c r="AI61" s="851"/>
      <c r="AJ61" s="852"/>
      <c r="AK61" s="511"/>
      <c r="AL61" s="511"/>
      <c r="AM61" s="511"/>
      <c r="AN61" s="493"/>
      <c r="AO61" s="493"/>
      <c r="AP61" s="493"/>
      <c r="AQ61" s="495"/>
      <c r="AR61" s="495"/>
      <c r="AS61" s="495"/>
      <c r="AT61" s="495"/>
      <c r="AU61" s="495"/>
      <c r="AV61" s="495"/>
      <c r="AW61" s="495"/>
      <c r="AY61" s="280"/>
      <c r="AZ61" s="723" t="s">
        <v>59</v>
      </c>
      <c r="BA61" s="721" t="s">
        <v>12</v>
      </c>
      <c r="BB61" s="722"/>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4"/>
      <c r="M62" s="845"/>
      <c r="N62" s="846"/>
      <c r="O62" s="493"/>
      <c r="P62" s="493"/>
      <c r="Q62" s="844"/>
      <c r="R62" s="845"/>
      <c r="S62" s="846"/>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0" t="s">
        <v>55</v>
      </c>
      <c r="BA62" s="721" t="s">
        <v>56</v>
      </c>
      <c r="BB62" s="722"/>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47"/>
      <c r="M63" s="848"/>
      <c r="N63" s="849"/>
      <c r="O63" s="493"/>
      <c r="P63" s="493"/>
      <c r="Q63" s="847"/>
      <c r="R63" s="848"/>
      <c r="S63" s="849"/>
      <c r="T63" s="493"/>
      <c r="U63" s="493"/>
      <c r="V63" s="493"/>
      <c r="W63" s="493"/>
      <c r="X63" s="496"/>
      <c r="Y63" s="253"/>
      <c r="Z63" s="253"/>
      <c r="AA63" s="850" t="str">
        <f>D37&amp;" (W2,28)"</f>
        <v>Electricity, gas, steam and air conditioning supply  (ISIC 35) (W2,28)</v>
      </c>
      <c r="AB63" s="793"/>
      <c r="AC63" s="793"/>
      <c r="AD63" s="793"/>
      <c r="AE63" s="793"/>
      <c r="AF63" s="793"/>
      <c r="AG63" s="793"/>
      <c r="AH63" s="851"/>
      <c r="AI63" s="851"/>
      <c r="AJ63" s="852"/>
      <c r="AK63" s="495"/>
      <c r="AL63" s="495"/>
      <c r="AM63" s="495"/>
      <c r="AN63" s="493"/>
      <c r="AO63" s="493"/>
      <c r="AP63" s="493"/>
      <c r="AQ63" s="800"/>
      <c r="AR63" s="800"/>
      <c r="AS63" s="800"/>
      <c r="AT63" s="800"/>
      <c r="AU63" s="800"/>
      <c r="AV63" s="800"/>
      <c r="AW63" s="800"/>
      <c r="AY63" s="280"/>
      <c r="AZ63" s="720" t="s">
        <v>57</v>
      </c>
      <c r="BA63" s="721" t="s">
        <v>58</v>
      </c>
      <c r="BB63" s="722"/>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1" t="str">
        <f>D26&amp;" - "&amp;D27&amp;"  =(W2,18) - (W2,19)"</f>
        <v>Imports of water - Exports of water  =(W2,18) - (W2,19)</v>
      </c>
      <c r="G64" s="842"/>
      <c r="H64" s="843"/>
      <c r="I64" s="493"/>
      <c r="J64" s="493"/>
      <c r="K64" s="493"/>
      <c r="L64" s="493"/>
      <c r="M64" s="493"/>
      <c r="N64" s="493"/>
      <c r="O64" s="493"/>
      <c r="P64" s="493"/>
      <c r="Q64" s="493"/>
      <c r="R64" s="493"/>
      <c r="S64" s="493"/>
      <c r="T64" s="493"/>
      <c r="U64" s="493"/>
      <c r="V64" s="493"/>
      <c r="W64" s="493"/>
      <c r="X64" s="496"/>
      <c r="Y64" s="253"/>
      <c r="Z64" s="553"/>
      <c r="AB64" s="800"/>
      <c r="AC64" s="800"/>
      <c r="AD64" s="800"/>
      <c r="AE64" s="800"/>
      <c r="AF64" s="800"/>
      <c r="AG64" s="800"/>
      <c r="AH64" s="800"/>
      <c r="AI64" s="800"/>
      <c r="AJ64" s="800"/>
      <c r="AK64" s="495"/>
      <c r="AL64" s="495"/>
      <c r="AM64" s="495"/>
      <c r="AN64" s="493"/>
      <c r="AO64" s="493"/>
      <c r="AP64" s="493"/>
      <c r="AQ64" s="495"/>
      <c r="AR64" s="495"/>
      <c r="AS64" s="495"/>
      <c r="AT64" s="495"/>
      <c r="AU64" s="495"/>
      <c r="AV64" s="495"/>
      <c r="AW64" s="495"/>
      <c r="AZ64" s="723" t="s">
        <v>60</v>
      </c>
      <c r="BA64" s="721" t="s">
        <v>62</v>
      </c>
      <c r="BB64" s="722"/>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4"/>
      <c r="G65" s="845"/>
      <c r="H65" s="846"/>
      <c r="I65" s="493"/>
      <c r="J65" s="493"/>
      <c r="K65" s="493"/>
      <c r="L65" s="493"/>
      <c r="M65" s="493"/>
      <c r="N65" s="841" t="str">
        <f>D29&amp;" (W2,21)"</f>
        <v>Losses during transport (W2,21)</v>
      </c>
      <c r="O65" s="842"/>
      <c r="P65" s="843"/>
      <c r="Q65" s="493"/>
      <c r="R65" s="493"/>
      <c r="S65" s="493"/>
      <c r="T65" s="493"/>
      <c r="U65" s="493"/>
      <c r="V65" s="493"/>
      <c r="W65" s="493"/>
      <c r="X65" s="496"/>
      <c r="Y65" s="253"/>
      <c r="Z65" s="553"/>
      <c r="AA65" s="850" t="str">
        <f>D39&amp;" (W2,30)"</f>
        <v>Construction (ISIC 41-43) (W2,30)</v>
      </c>
      <c r="AB65" s="793"/>
      <c r="AC65" s="793"/>
      <c r="AD65" s="793"/>
      <c r="AE65" s="793"/>
      <c r="AF65" s="793"/>
      <c r="AG65" s="793"/>
      <c r="AH65" s="851"/>
      <c r="AI65" s="851"/>
      <c r="AJ65" s="852"/>
      <c r="AK65" s="253"/>
      <c r="AL65" s="253"/>
      <c r="AM65" s="495"/>
      <c r="AN65" s="493"/>
      <c r="AO65" s="493"/>
      <c r="AP65" s="493"/>
      <c r="AQ65" s="800"/>
      <c r="AR65" s="800"/>
      <c r="AS65" s="800"/>
      <c r="AT65" s="800"/>
      <c r="AU65" s="800"/>
      <c r="AV65" s="800"/>
      <c r="AW65" s="800"/>
      <c r="AZ65" s="723" t="s">
        <v>59</v>
      </c>
      <c r="BA65" s="721" t="s">
        <v>12</v>
      </c>
      <c r="BB65" s="722"/>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3"/>
      <c r="G66" s="864"/>
      <c r="H66" s="865"/>
      <c r="I66" s="493"/>
      <c r="J66" s="493"/>
      <c r="K66" s="493"/>
      <c r="L66" s="493"/>
      <c r="M66" s="493"/>
      <c r="N66" s="847"/>
      <c r="O66" s="848"/>
      <c r="P66" s="849"/>
      <c r="Q66" s="493"/>
      <c r="R66" s="493"/>
      <c r="S66" s="493"/>
      <c r="T66" s="493"/>
      <c r="U66" s="493"/>
      <c r="V66" s="493"/>
      <c r="W66" s="493"/>
      <c r="X66" s="496"/>
      <c r="Y66" s="511"/>
      <c r="Z66" s="553"/>
      <c r="AA66" s="553"/>
      <c r="AB66" s="553"/>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4"/>
      <c r="BA66" s="724"/>
      <c r="BB66" s="722"/>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0" t="str">
        <f>D40&amp;" (W2,31)"</f>
        <v>Other economic activities (W2,31)</v>
      </c>
      <c r="AB67" s="793"/>
      <c r="AC67" s="793"/>
      <c r="AD67" s="793"/>
      <c r="AE67" s="793"/>
      <c r="AF67" s="793"/>
      <c r="AG67" s="793"/>
      <c r="AH67" s="851"/>
      <c r="AI67" s="851"/>
      <c r="AJ67" s="852"/>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0</v>
      </c>
      <c r="B71" s="163">
        <v>2744</v>
      </c>
      <c r="C71" s="484" t="s">
        <v>646</v>
      </c>
      <c r="D71" s="825" t="s">
        <v>654</v>
      </c>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582"/>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2746</v>
      </c>
      <c r="C72" s="484" t="s">
        <v>648</v>
      </c>
      <c r="D72" s="802" t="s">
        <v>655</v>
      </c>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582"/>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02"/>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3"/>
      <c r="AS73" s="803"/>
      <c r="AT73" s="803"/>
      <c r="AU73" s="803"/>
      <c r="AV73" s="803"/>
      <c r="AW73" s="803"/>
      <c r="AX73" s="582"/>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2"/>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803"/>
      <c r="AR74" s="803"/>
      <c r="AS74" s="803"/>
      <c r="AT74" s="803"/>
      <c r="AU74" s="803"/>
      <c r="AV74" s="803"/>
      <c r="AW74" s="803"/>
      <c r="AX74" s="582"/>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2"/>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3"/>
      <c r="AL75" s="803"/>
      <c r="AM75" s="803"/>
      <c r="AN75" s="803"/>
      <c r="AO75" s="803"/>
      <c r="AP75" s="803"/>
      <c r="AQ75" s="803"/>
      <c r="AR75" s="803"/>
      <c r="AS75" s="803"/>
      <c r="AT75" s="803"/>
      <c r="AU75" s="803"/>
      <c r="AV75" s="803"/>
      <c r="AW75" s="803"/>
      <c r="AX75" s="582"/>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2"/>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3"/>
      <c r="AL76" s="803"/>
      <c r="AM76" s="803"/>
      <c r="AN76" s="803"/>
      <c r="AO76" s="803"/>
      <c r="AP76" s="803"/>
      <c r="AQ76" s="803"/>
      <c r="AR76" s="803"/>
      <c r="AS76" s="803"/>
      <c r="AT76" s="803"/>
      <c r="AU76" s="803"/>
      <c r="AV76" s="803"/>
      <c r="AW76" s="803"/>
      <c r="AX76" s="582"/>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2"/>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c r="AH77" s="803"/>
      <c r="AI77" s="803"/>
      <c r="AJ77" s="803"/>
      <c r="AK77" s="803"/>
      <c r="AL77" s="803"/>
      <c r="AM77" s="803"/>
      <c r="AN77" s="803"/>
      <c r="AO77" s="803"/>
      <c r="AP77" s="803"/>
      <c r="AQ77" s="803"/>
      <c r="AR77" s="803"/>
      <c r="AS77" s="803"/>
      <c r="AT77" s="803"/>
      <c r="AU77" s="803"/>
      <c r="AV77" s="803"/>
      <c r="AW77" s="803"/>
      <c r="AX77" s="582"/>
      <c r="CU77" s="270"/>
    </row>
    <row r="78" spans="3:99" ht="18" customHeight="1">
      <c r="C78" s="484"/>
      <c r="D78" s="802"/>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582"/>
      <c r="CU78" s="270"/>
    </row>
    <row r="79" spans="3:99" ht="18" customHeight="1">
      <c r="C79" s="484"/>
      <c r="D79" s="802"/>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582"/>
      <c r="CU79" s="270"/>
    </row>
    <row r="80" spans="3:99" ht="18" customHeight="1">
      <c r="C80" s="484"/>
      <c r="D80" s="802"/>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582"/>
      <c r="CU80" s="270"/>
    </row>
    <row r="81" spans="3:99" ht="18" customHeight="1">
      <c r="C81" s="484"/>
      <c r="D81" s="802"/>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582"/>
      <c r="CU81" s="270"/>
    </row>
    <row r="82" spans="3:99" ht="18" customHeight="1">
      <c r="C82" s="484"/>
      <c r="D82" s="802"/>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582"/>
      <c r="CU82" s="270"/>
    </row>
    <row r="83" spans="3:99" ht="18" customHeight="1">
      <c r="C83" s="484"/>
      <c r="D83" s="802"/>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582"/>
      <c r="CU83" s="270"/>
    </row>
    <row r="84" spans="2:99" ht="18" customHeight="1">
      <c r="B84" s="367"/>
      <c r="C84" s="484"/>
      <c r="D84" s="802"/>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582"/>
      <c r="CU84" s="270"/>
    </row>
    <row r="85" spans="3:99" ht="18" customHeight="1">
      <c r="C85" s="484"/>
      <c r="D85" s="802"/>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582"/>
      <c r="CU85" s="270"/>
    </row>
    <row r="86" spans="3:99" ht="18" customHeight="1">
      <c r="C86" s="484"/>
      <c r="D86" s="802"/>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582"/>
      <c r="CU86" s="270"/>
    </row>
    <row r="87" spans="3:99" ht="18" customHeight="1">
      <c r="C87" s="484"/>
      <c r="D87" s="802"/>
      <c r="E87" s="803"/>
      <c r="F87" s="803"/>
      <c r="G87" s="803"/>
      <c r="H87" s="803"/>
      <c r="I87" s="803"/>
      <c r="J87" s="803"/>
      <c r="K87" s="803"/>
      <c r="L87" s="803"/>
      <c r="M87" s="803"/>
      <c r="N87" s="803"/>
      <c r="O87" s="803"/>
      <c r="P87" s="803"/>
      <c r="Q87" s="803"/>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582"/>
      <c r="CU87" s="270"/>
    </row>
    <row r="88" spans="3:50" ht="18" customHeight="1">
      <c r="C88" s="484"/>
      <c r="D88" s="802"/>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c r="AH88" s="803"/>
      <c r="AI88" s="803"/>
      <c r="AJ88" s="803"/>
      <c r="AK88" s="803"/>
      <c r="AL88" s="803"/>
      <c r="AM88" s="803"/>
      <c r="AN88" s="803"/>
      <c r="AO88" s="803"/>
      <c r="AP88" s="803"/>
      <c r="AQ88" s="803"/>
      <c r="AR88" s="803"/>
      <c r="AS88" s="803"/>
      <c r="AT88" s="803"/>
      <c r="AU88" s="803"/>
      <c r="AV88" s="803"/>
      <c r="AW88" s="803"/>
      <c r="AX88" s="582"/>
    </row>
    <row r="89" spans="3:50" ht="18" customHeight="1">
      <c r="C89" s="484"/>
      <c r="D89" s="802"/>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c r="AH89" s="803"/>
      <c r="AI89" s="803"/>
      <c r="AJ89" s="803"/>
      <c r="AK89" s="803"/>
      <c r="AL89" s="803"/>
      <c r="AM89" s="803"/>
      <c r="AN89" s="803"/>
      <c r="AO89" s="803"/>
      <c r="AP89" s="803"/>
      <c r="AQ89" s="803"/>
      <c r="AR89" s="803"/>
      <c r="AS89" s="803"/>
      <c r="AT89" s="803"/>
      <c r="AU89" s="803"/>
      <c r="AV89" s="803"/>
      <c r="AW89" s="803"/>
      <c r="AX89" s="582"/>
    </row>
    <row r="90" spans="2:98" ht="18" customHeight="1">
      <c r="B90" s="490"/>
      <c r="C90" s="484"/>
      <c r="D90" s="802"/>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c r="AH90" s="803"/>
      <c r="AI90" s="803"/>
      <c r="AJ90" s="803"/>
      <c r="AK90" s="803"/>
      <c r="AL90" s="803"/>
      <c r="AM90" s="803"/>
      <c r="AN90" s="803"/>
      <c r="AO90" s="803"/>
      <c r="AP90" s="803"/>
      <c r="AQ90" s="803"/>
      <c r="AR90" s="803"/>
      <c r="AS90" s="803"/>
      <c r="AT90" s="803"/>
      <c r="AU90" s="803"/>
      <c r="AV90" s="803"/>
      <c r="AW90" s="803"/>
      <c r="AX90" s="582"/>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2"/>
      <c r="E91" s="803"/>
      <c r="F91" s="803"/>
      <c r="G91" s="803"/>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803"/>
      <c r="AF91" s="803"/>
      <c r="AG91" s="803"/>
      <c r="AH91" s="803"/>
      <c r="AI91" s="803"/>
      <c r="AJ91" s="803"/>
      <c r="AK91" s="803"/>
      <c r="AL91" s="803"/>
      <c r="AM91" s="803"/>
      <c r="AN91" s="803"/>
      <c r="AO91" s="803"/>
      <c r="AP91" s="803"/>
      <c r="AQ91" s="803"/>
      <c r="AR91" s="803"/>
      <c r="AS91" s="803"/>
      <c r="AT91" s="803"/>
      <c r="AU91" s="803"/>
      <c r="AV91" s="803"/>
      <c r="AW91" s="803"/>
      <c r="AX91" s="582"/>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3"/>
      <c r="D92" s="576"/>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82"/>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18"/>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18"/>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A1">
      <selection activeCell="F8" sqref="F8"/>
    </sheetView>
  </sheetViews>
  <sheetFormatPr defaultColWidth="12" defaultRowHeight="12.75"/>
  <cols>
    <col min="1" max="1" width="6" style="162" customWidth="1"/>
    <col min="2" max="2" width="11.5" style="163"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344</v>
      </c>
      <c r="C3" s="299" t="s">
        <v>296</v>
      </c>
      <c r="D3" s="29" t="s">
        <v>651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4"/>
      <c r="BH3" s="894"/>
      <c r="BI3" s="894"/>
      <c r="BJ3" s="385"/>
      <c r="BK3" s="385"/>
      <c r="BL3" s="385"/>
      <c r="BM3" s="894"/>
      <c r="BN3" s="894"/>
      <c r="BO3" s="894"/>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69" t="s">
        <v>197</v>
      </c>
      <c r="D5" s="869"/>
      <c r="E5" s="895"/>
      <c r="F5" s="895"/>
      <c r="G5" s="895"/>
      <c r="H5" s="895"/>
      <c r="I5" s="871"/>
      <c r="J5" s="871"/>
      <c r="K5" s="871"/>
      <c r="L5" s="871"/>
      <c r="M5" s="871"/>
      <c r="N5" s="871"/>
      <c r="O5" s="871"/>
      <c r="P5" s="871"/>
      <c r="Q5" s="871"/>
      <c r="R5" s="871"/>
      <c r="S5" s="871"/>
      <c r="T5" s="871"/>
      <c r="U5" s="871"/>
      <c r="V5" s="871"/>
      <c r="W5" s="871"/>
      <c r="X5" s="895"/>
      <c r="Y5" s="871"/>
      <c r="Z5" s="895"/>
      <c r="AA5" s="871"/>
      <c r="AB5" s="895"/>
      <c r="AC5" s="871"/>
      <c r="AD5" s="895"/>
      <c r="AE5" s="871"/>
      <c r="AF5" s="895"/>
      <c r="AG5" s="871"/>
      <c r="AH5" s="895"/>
      <c r="AI5" s="871"/>
      <c r="AJ5" s="871"/>
      <c r="AK5" s="871"/>
      <c r="AL5" s="895"/>
      <c r="AM5" s="871"/>
      <c r="AN5" s="895"/>
      <c r="AO5" s="317"/>
      <c r="AP5" s="317"/>
      <c r="AQ5" s="317"/>
      <c r="AR5" s="317"/>
      <c r="AS5" s="317"/>
      <c r="AT5" s="318"/>
      <c r="AU5" s="317"/>
      <c r="AV5" s="317"/>
      <c r="AW5" s="317"/>
      <c r="AX5" s="387"/>
      <c r="AY5" s="195"/>
      <c r="AZ5" s="319" t="s">
        <v>50</v>
      </c>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row>
    <row r="6" spans="1:98" s="389" customFormat="1" ht="14.25" customHeight="1">
      <c r="A6" s="388"/>
      <c r="B6" s="163"/>
      <c r="C6" s="381"/>
      <c r="D6" s="381"/>
      <c r="E6" s="199"/>
      <c r="F6" s="584" t="s">
        <v>490</v>
      </c>
      <c r="G6" s="200"/>
      <c r="H6" s="201"/>
      <c r="I6" s="202"/>
      <c r="J6" s="201"/>
      <c r="K6" s="202"/>
      <c r="L6" s="201"/>
      <c r="M6" s="202"/>
      <c r="N6" s="201"/>
      <c r="O6" s="202"/>
      <c r="P6" s="201"/>
      <c r="Q6" s="202"/>
      <c r="R6" s="201"/>
      <c r="S6" s="202"/>
      <c r="T6" s="201"/>
      <c r="U6" s="202"/>
      <c r="V6" s="201"/>
      <c r="W6" s="200"/>
      <c r="Z6" s="534"/>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row>
    <row r="7" spans="1:98" s="210" customFormat="1" ht="25.5" customHeight="1">
      <c r="A7" s="207"/>
      <c r="B7" s="208">
        <v>2</v>
      </c>
      <c r="C7" s="638" t="s">
        <v>286</v>
      </c>
      <c r="D7" s="638" t="s">
        <v>287</v>
      </c>
      <c r="E7" s="638" t="s">
        <v>290</v>
      </c>
      <c r="F7" s="638">
        <v>2000</v>
      </c>
      <c r="G7" s="638"/>
      <c r="H7" s="638">
        <v>2001</v>
      </c>
      <c r="I7" s="638"/>
      <c r="J7" s="638">
        <v>2002</v>
      </c>
      <c r="K7" s="638"/>
      <c r="L7" s="638">
        <v>2003</v>
      </c>
      <c r="M7" s="638"/>
      <c r="N7" s="638">
        <v>2004</v>
      </c>
      <c r="O7" s="638"/>
      <c r="P7" s="638">
        <v>2005</v>
      </c>
      <c r="Q7" s="638"/>
      <c r="R7" s="638">
        <v>2006</v>
      </c>
      <c r="S7" s="638"/>
      <c r="T7" s="638">
        <v>2007</v>
      </c>
      <c r="U7" s="638"/>
      <c r="V7" s="638">
        <v>2008</v>
      </c>
      <c r="W7" s="638"/>
      <c r="X7" s="638">
        <v>2009</v>
      </c>
      <c r="Y7" s="638"/>
      <c r="Z7" s="638">
        <v>2010</v>
      </c>
      <c r="AA7" s="638"/>
      <c r="AB7" s="638">
        <v>2011</v>
      </c>
      <c r="AC7" s="638"/>
      <c r="AD7" s="638">
        <v>2012</v>
      </c>
      <c r="AE7" s="638"/>
      <c r="AF7" s="638">
        <v>2013</v>
      </c>
      <c r="AG7" s="638"/>
      <c r="AH7" s="638">
        <v>2014</v>
      </c>
      <c r="AI7" s="638"/>
      <c r="AJ7" s="638">
        <v>2015</v>
      </c>
      <c r="AK7" s="638"/>
      <c r="AL7" s="638">
        <v>2016</v>
      </c>
      <c r="AM7" s="638"/>
      <c r="AN7" s="638">
        <v>2017</v>
      </c>
      <c r="AO7" s="638"/>
      <c r="AP7" s="638">
        <v>2018</v>
      </c>
      <c r="AQ7" s="638"/>
      <c r="AR7" s="638">
        <v>2019</v>
      </c>
      <c r="AS7" s="638"/>
      <c r="AT7" s="638">
        <v>2020</v>
      </c>
      <c r="AU7" s="638"/>
      <c r="AV7" s="638">
        <v>2021</v>
      </c>
      <c r="AW7" s="639"/>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6"/>
      <c r="G8" s="523"/>
      <c r="H8" s="536"/>
      <c r="I8" s="523"/>
      <c r="J8" s="536"/>
      <c r="K8" s="523"/>
      <c r="L8" s="536"/>
      <c r="M8" s="523"/>
      <c r="N8" s="536"/>
      <c r="O8" s="523"/>
      <c r="P8" s="536"/>
      <c r="Q8" s="523"/>
      <c r="R8" s="536"/>
      <c r="S8" s="523"/>
      <c r="T8" s="536"/>
      <c r="U8" s="523"/>
      <c r="V8" s="536"/>
      <c r="W8" s="523"/>
      <c r="X8" s="536"/>
      <c r="Y8" s="523"/>
      <c r="Z8" s="536"/>
      <c r="AA8" s="523"/>
      <c r="AB8" s="536"/>
      <c r="AC8" s="523"/>
      <c r="AD8" s="536"/>
      <c r="AE8" s="523"/>
      <c r="AF8" s="536"/>
      <c r="AG8" s="523"/>
      <c r="AH8" s="536"/>
      <c r="AI8" s="523"/>
      <c r="AJ8" s="536"/>
      <c r="AK8" s="523"/>
      <c r="AL8" s="536"/>
      <c r="AM8" s="523"/>
      <c r="AN8" s="536"/>
      <c r="AO8" s="523"/>
      <c r="AP8" s="536"/>
      <c r="AQ8" s="523"/>
      <c r="AR8" s="536"/>
      <c r="AS8" s="523"/>
      <c r="AT8" s="536"/>
      <c r="AU8" s="523"/>
      <c r="AV8" s="536"/>
      <c r="AW8" s="523"/>
      <c r="AY8" s="173"/>
      <c r="AZ8" s="693">
        <v>1</v>
      </c>
      <c r="BA8" s="727" t="s">
        <v>14</v>
      </c>
      <c r="BB8" s="692" t="s">
        <v>298</v>
      </c>
      <c r="BC8" s="217" t="s">
        <v>82</v>
      </c>
      <c r="BD8" s="541"/>
      <c r="BE8" s="79" t="str">
        <f>IF(OR(ISBLANK(F8),ISBLANK(H8)),"N/A",IF(ABS((H8-F8)/F8)&gt;0.25,"&gt; 25%","ok"))</f>
        <v>N/A</v>
      </c>
      <c r="BF8" s="541"/>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6"/>
      <c r="G9" s="523"/>
      <c r="H9" s="536"/>
      <c r="I9" s="523"/>
      <c r="J9" s="536"/>
      <c r="K9" s="523"/>
      <c r="L9" s="536"/>
      <c r="M9" s="523"/>
      <c r="N9" s="536"/>
      <c r="O9" s="523"/>
      <c r="P9" s="536"/>
      <c r="Q9" s="523"/>
      <c r="R9" s="536"/>
      <c r="S9" s="523"/>
      <c r="T9" s="536"/>
      <c r="U9" s="523"/>
      <c r="V9" s="536"/>
      <c r="W9" s="523"/>
      <c r="X9" s="536"/>
      <c r="Y9" s="523"/>
      <c r="Z9" s="536"/>
      <c r="AA9" s="523"/>
      <c r="AB9" s="536"/>
      <c r="AC9" s="523"/>
      <c r="AD9" s="536"/>
      <c r="AE9" s="523"/>
      <c r="AF9" s="536"/>
      <c r="AG9" s="523"/>
      <c r="AH9" s="536"/>
      <c r="AI9" s="523"/>
      <c r="AJ9" s="536"/>
      <c r="AK9" s="523"/>
      <c r="AL9" s="536"/>
      <c r="AM9" s="523"/>
      <c r="AN9" s="536"/>
      <c r="AO9" s="523"/>
      <c r="AP9" s="536"/>
      <c r="AQ9" s="523"/>
      <c r="AR9" s="536"/>
      <c r="AS9" s="523"/>
      <c r="AT9" s="536"/>
      <c r="AU9" s="523"/>
      <c r="AV9" s="536"/>
      <c r="AW9" s="523"/>
      <c r="AY9" s="173"/>
      <c r="AZ9" s="692">
        <v>2</v>
      </c>
      <c r="BA9" s="704" t="s">
        <v>15</v>
      </c>
      <c r="BB9" s="692" t="s">
        <v>298</v>
      </c>
      <c r="BC9" s="81" t="s">
        <v>82</v>
      </c>
      <c r="BD9" s="541"/>
      <c r="BE9" s="79" t="str">
        <f aca="true" t="shared" si="0" ref="BE9:BE19">IF(OR(ISBLANK(F9),ISBLANK(H9)),"N/A",IF(ABS((H9-F9)/F9)&gt;0.25,"&gt; 25%","ok"))</f>
        <v>N/A</v>
      </c>
      <c r="BF9" s="541"/>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6">
        <v>924</v>
      </c>
      <c r="G10" s="523" t="s">
        <v>646</v>
      </c>
      <c r="H10" s="536">
        <v>940</v>
      </c>
      <c r="I10" s="523" t="s">
        <v>646</v>
      </c>
      <c r="J10" s="536">
        <v>949</v>
      </c>
      <c r="K10" s="523" t="s">
        <v>646</v>
      </c>
      <c r="L10" s="536">
        <v>974</v>
      </c>
      <c r="M10" s="523" t="s">
        <v>646</v>
      </c>
      <c r="N10" s="536">
        <v>955</v>
      </c>
      <c r="O10" s="523" t="s">
        <v>646</v>
      </c>
      <c r="P10" s="536">
        <v>968</v>
      </c>
      <c r="Q10" s="523" t="s">
        <v>646</v>
      </c>
      <c r="R10" s="536">
        <v>963</v>
      </c>
      <c r="S10" s="523" t="s">
        <v>646</v>
      </c>
      <c r="T10" s="536">
        <v>951</v>
      </c>
      <c r="U10" s="523" t="s">
        <v>646</v>
      </c>
      <c r="V10" s="536">
        <v>956</v>
      </c>
      <c r="W10" s="523" t="s">
        <v>646</v>
      </c>
      <c r="X10" s="536">
        <v>952</v>
      </c>
      <c r="Y10" s="523" t="s">
        <v>646</v>
      </c>
      <c r="Z10" s="536">
        <v>936</v>
      </c>
      <c r="AA10" s="523" t="s">
        <v>646</v>
      </c>
      <c r="AB10" s="536">
        <v>923</v>
      </c>
      <c r="AC10" s="523" t="s">
        <v>646</v>
      </c>
      <c r="AD10" s="536">
        <v>935</v>
      </c>
      <c r="AE10" s="523" t="s">
        <v>646</v>
      </c>
      <c r="AF10" s="536">
        <v>933</v>
      </c>
      <c r="AG10" s="523" t="s">
        <v>646</v>
      </c>
      <c r="AH10" s="536">
        <v>959</v>
      </c>
      <c r="AI10" s="523" t="s">
        <v>646</v>
      </c>
      <c r="AJ10" s="536">
        <v>973</v>
      </c>
      <c r="AK10" s="523" t="s">
        <v>646</v>
      </c>
      <c r="AL10" s="536"/>
      <c r="AM10" s="523"/>
      <c r="AN10" s="536"/>
      <c r="AO10" s="523"/>
      <c r="AP10" s="536"/>
      <c r="AQ10" s="523"/>
      <c r="AR10" s="536"/>
      <c r="AS10" s="523"/>
      <c r="AT10" s="536"/>
      <c r="AU10" s="523"/>
      <c r="AV10" s="536"/>
      <c r="AW10" s="523"/>
      <c r="AY10" s="393"/>
      <c r="AZ10" s="693">
        <v>3</v>
      </c>
      <c r="BA10" s="727" t="s">
        <v>536</v>
      </c>
      <c r="BB10" s="692" t="s">
        <v>298</v>
      </c>
      <c r="BC10" s="81" t="s">
        <v>82</v>
      </c>
      <c r="BD10" s="541"/>
      <c r="BE10" s="79" t="str">
        <f t="shared" si="0"/>
        <v>ok</v>
      </c>
      <c r="BF10" s="541"/>
      <c r="BG10" s="82" t="str">
        <f t="shared" si="1"/>
        <v>ok</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ok</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2"/>
      <c r="D11" s="563" t="s">
        <v>16</v>
      </c>
      <c r="E11" s="564"/>
      <c r="F11" s="532"/>
      <c r="G11" s="533"/>
      <c r="H11" s="532"/>
      <c r="I11" s="533"/>
      <c r="J11" s="532"/>
      <c r="K11" s="533"/>
      <c r="L11" s="532"/>
      <c r="M11" s="533"/>
      <c r="N11" s="532"/>
      <c r="O11" s="533"/>
      <c r="P11" s="532"/>
      <c r="Q11" s="533"/>
      <c r="R11" s="532"/>
      <c r="S11" s="533"/>
      <c r="T11" s="532"/>
      <c r="U11" s="533"/>
      <c r="V11" s="532"/>
      <c r="W11" s="533"/>
      <c r="X11" s="532"/>
      <c r="Y11" s="533"/>
      <c r="Z11" s="532"/>
      <c r="AA11" s="533"/>
      <c r="AB11" s="532"/>
      <c r="AC11" s="533"/>
      <c r="AD11" s="532"/>
      <c r="AE11" s="533"/>
      <c r="AF11" s="532"/>
      <c r="AG11" s="533"/>
      <c r="AH11" s="532"/>
      <c r="AI11" s="533"/>
      <c r="AJ11" s="532"/>
      <c r="AK11" s="533"/>
      <c r="AL11" s="532"/>
      <c r="AM11" s="533"/>
      <c r="AN11" s="532"/>
      <c r="AO11" s="533"/>
      <c r="AP11" s="532"/>
      <c r="AQ11" s="533"/>
      <c r="AR11" s="532"/>
      <c r="AS11" s="533"/>
      <c r="AT11" s="532"/>
      <c r="AU11" s="533"/>
      <c r="AV11" s="532"/>
      <c r="AW11" s="533"/>
      <c r="AY11" s="393"/>
      <c r="AZ11" s="709"/>
      <c r="BA11" s="708" t="s">
        <v>16</v>
      </c>
      <c r="BB11" s="693"/>
      <c r="BC11" s="96"/>
      <c r="BD11" s="540"/>
      <c r="BE11" s="79"/>
      <c r="BF11" s="541"/>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v>286</v>
      </c>
      <c r="G12" s="521" t="s">
        <v>648</v>
      </c>
      <c r="H12" s="513">
        <v>297</v>
      </c>
      <c r="I12" s="521" t="s">
        <v>648</v>
      </c>
      <c r="J12" s="513">
        <v>303</v>
      </c>
      <c r="K12" s="521" t="s">
        <v>648</v>
      </c>
      <c r="L12" s="513">
        <v>320</v>
      </c>
      <c r="M12" s="521" t="s">
        <v>648</v>
      </c>
      <c r="N12" s="513">
        <v>319</v>
      </c>
      <c r="O12" s="521" t="s">
        <v>648</v>
      </c>
      <c r="P12" s="513">
        <v>323</v>
      </c>
      <c r="Q12" s="521" t="s">
        <v>648</v>
      </c>
      <c r="R12" s="513">
        <v>322</v>
      </c>
      <c r="S12" s="521" t="s">
        <v>648</v>
      </c>
      <c r="T12" s="513">
        <v>323</v>
      </c>
      <c r="U12" s="521" t="s">
        <v>648</v>
      </c>
      <c r="V12" s="513">
        <v>330</v>
      </c>
      <c r="W12" s="521" t="s">
        <v>648</v>
      </c>
      <c r="X12" s="513">
        <v>337</v>
      </c>
      <c r="Y12" s="521" t="s">
        <v>648</v>
      </c>
      <c r="Z12" s="513">
        <v>333</v>
      </c>
      <c r="AA12" s="521" t="s">
        <v>648</v>
      </c>
      <c r="AB12" s="513">
        <v>337</v>
      </c>
      <c r="AC12" s="521" t="s">
        <v>648</v>
      </c>
      <c r="AD12" s="513">
        <v>341</v>
      </c>
      <c r="AE12" s="521" t="s">
        <v>648</v>
      </c>
      <c r="AF12" s="513">
        <v>346</v>
      </c>
      <c r="AG12" s="521" t="s">
        <v>648</v>
      </c>
      <c r="AH12" s="513">
        <v>348</v>
      </c>
      <c r="AI12" s="521" t="s">
        <v>648</v>
      </c>
      <c r="AJ12" s="513">
        <v>354</v>
      </c>
      <c r="AK12" s="521" t="s">
        <v>648</v>
      </c>
      <c r="AL12" s="513"/>
      <c r="AM12" s="521"/>
      <c r="AN12" s="513"/>
      <c r="AO12" s="521"/>
      <c r="AP12" s="513"/>
      <c r="AQ12" s="521"/>
      <c r="AR12" s="513"/>
      <c r="AS12" s="521"/>
      <c r="AT12" s="513"/>
      <c r="AU12" s="521"/>
      <c r="AV12" s="513"/>
      <c r="AW12" s="521"/>
      <c r="AY12" s="398"/>
      <c r="AZ12" s="690">
        <v>4</v>
      </c>
      <c r="BA12" s="698" t="s">
        <v>316</v>
      </c>
      <c r="BB12" s="692" t="s">
        <v>298</v>
      </c>
      <c r="BC12" s="79" t="s">
        <v>82</v>
      </c>
      <c r="BD12" s="540"/>
      <c r="BE12" s="79" t="str">
        <f t="shared" si="0"/>
        <v>ok</v>
      </c>
      <c r="BF12" s="541"/>
      <c r="BG12" s="82" t="str">
        <f t="shared" si="1"/>
        <v>ok</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ok</v>
      </c>
      <c r="BN12" s="82"/>
      <c r="BO12" s="82" t="str">
        <f aca="true" t="shared" si="9" ref="BO12:BO19">IF(OR(ISBLANK(P12),ISBLANK(R12)),"N/A",IF(ABS((R12-P12)/P12)&gt;0.25,"&gt; 25%","ok"))</f>
        <v>ok</v>
      </c>
      <c r="BP12" s="82"/>
      <c r="BQ12" s="82" t="str">
        <f aca="true" t="shared" si="10" ref="BQ12:BQ19">IF(OR(ISBLANK(R12),ISBLANK(T12)),"N/A",IF(ABS((T12-R12)/R12)&gt;0.25,"&gt; 25%","ok"))</f>
        <v>ok</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5"/>
      <c r="G13" s="522"/>
      <c r="H13" s="535"/>
      <c r="I13" s="522"/>
      <c r="J13" s="535"/>
      <c r="K13" s="522"/>
      <c r="L13" s="535"/>
      <c r="M13" s="522"/>
      <c r="N13" s="535"/>
      <c r="O13" s="522"/>
      <c r="P13" s="535"/>
      <c r="Q13" s="522"/>
      <c r="R13" s="535"/>
      <c r="S13" s="522"/>
      <c r="T13" s="535"/>
      <c r="U13" s="522"/>
      <c r="V13" s="535"/>
      <c r="W13" s="522"/>
      <c r="X13" s="535"/>
      <c r="Y13" s="522"/>
      <c r="Z13" s="535"/>
      <c r="AA13" s="522"/>
      <c r="AB13" s="535"/>
      <c r="AC13" s="522"/>
      <c r="AD13" s="535"/>
      <c r="AE13" s="522"/>
      <c r="AF13" s="535"/>
      <c r="AG13" s="522"/>
      <c r="AH13" s="535"/>
      <c r="AI13" s="522"/>
      <c r="AJ13" s="535"/>
      <c r="AK13" s="522"/>
      <c r="AL13" s="535"/>
      <c r="AM13" s="522"/>
      <c r="AN13" s="535"/>
      <c r="AO13" s="522"/>
      <c r="AP13" s="535"/>
      <c r="AQ13" s="522"/>
      <c r="AR13" s="535"/>
      <c r="AS13" s="522"/>
      <c r="AT13" s="535"/>
      <c r="AU13" s="522"/>
      <c r="AV13" s="535"/>
      <c r="AW13" s="522"/>
      <c r="AZ13" s="692">
        <v>5</v>
      </c>
      <c r="BA13" s="697" t="s">
        <v>117</v>
      </c>
      <c r="BB13" s="692" t="s">
        <v>298</v>
      </c>
      <c r="BC13" s="81" t="s">
        <v>82</v>
      </c>
      <c r="BD13" s="541"/>
      <c r="BE13" s="79" t="str">
        <f t="shared" si="0"/>
        <v>N/A</v>
      </c>
      <c r="BF13" s="541"/>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5"/>
      <c r="G14" s="522"/>
      <c r="H14" s="535"/>
      <c r="I14" s="522"/>
      <c r="J14" s="535"/>
      <c r="K14" s="522"/>
      <c r="L14" s="535"/>
      <c r="M14" s="522"/>
      <c r="N14" s="535"/>
      <c r="O14" s="522"/>
      <c r="P14" s="535"/>
      <c r="Q14" s="522"/>
      <c r="R14" s="535"/>
      <c r="S14" s="522"/>
      <c r="T14" s="535"/>
      <c r="U14" s="522"/>
      <c r="V14" s="535"/>
      <c r="W14" s="522"/>
      <c r="X14" s="535"/>
      <c r="Y14" s="522"/>
      <c r="Z14" s="535"/>
      <c r="AA14" s="522"/>
      <c r="AB14" s="535"/>
      <c r="AC14" s="522"/>
      <c r="AD14" s="535"/>
      <c r="AE14" s="522"/>
      <c r="AF14" s="535"/>
      <c r="AG14" s="522"/>
      <c r="AH14" s="535"/>
      <c r="AI14" s="522"/>
      <c r="AJ14" s="535"/>
      <c r="AK14" s="522"/>
      <c r="AL14" s="535"/>
      <c r="AM14" s="522"/>
      <c r="AN14" s="535"/>
      <c r="AO14" s="522"/>
      <c r="AP14" s="535"/>
      <c r="AQ14" s="522"/>
      <c r="AR14" s="535"/>
      <c r="AS14" s="522"/>
      <c r="AT14" s="535"/>
      <c r="AU14" s="522"/>
      <c r="AV14" s="535"/>
      <c r="AW14" s="522"/>
      <c r="AZ14" s="692">
        <v>6</v>
      </c>
      <c r="BA14" s="697" t="s">
        <v>518</v>
      </c>
      <c r="BB14" s="692" t="s">
        <v>298</v>
      </c>
      <c r="BC14" s="81"/>
      <c r="BD14" s="541"/>
      <c r="BE14" s="79" t="str">
        <f t="shared" si="0"/>
        <v>N/A</v>
      </c>
      <c r="BF14" s="541"/>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5"/>
      <c r="G15" s="522"/>
      <c r="H15" s="535"/>
      <c r="I15" s="522"/>
      <c r="J15" s="535"/>
      <c r="K15" s="522"/>
      <c r="L15" s="535"/>
      <c r="M15" s="522"/>
      <c r="N15" s="535"/>
      <c r="O15" s="522"/>
      <c r="P15" s="535"/>
      <c r="Q15" s="522"/>
      <c r="R15" s="535"/>
      <c r="S15" s="522"/>
      <c r="T15" s="535"/>
      <c r="U15" s="522"/>
      <c r="V15" s="535"/>
      <c r="W15" s="522"/>
      <c r="X15" s="535"/>
      <c r="Y15" s="522"/>
      <c r="Z15" s="535"/>
      <c r="AA15" s="522"/>
      <c r="AB15" s="535"/>
      <c r="AC15" s="522"/>
      <c r="AD15" s="535"/>
      <c r="AE15" s="522"/>
      <c r="AF15" s="535"/>
      <c r="AG15" s="522"/>
      <c r="AH15" s="535"/>
      <c r="AI15" s="522"/>
      <c r="AJ15" s="535"/>
      <c r="AK15" s="522"/>
      <c r="AL15" s="535"/>
      <c r="AM15" s="522"/>
      <c r="AN15" s="535"/>
      <c r="AO15" s="522"/>
      <c r="AP15" s="535"/>
      <c r="AQ15" s="522"/>
      <c r="AR15" s="535"/>
      <c r="AS15" s="522"/>
      <c r="AT15" s="535"/>
      <c r="AU15" s="522"/>
      <c r="AV15" s="535"/>
      <c r="AW15" s="522"/>
      <c r="AZ15" s="692">
        <v>7</v>
      </c>
      <c r="BA15" s="697" t="s">
        <v>487</v>
      </c>
      <c r="BB15" s="692" t="s">
        <v>298</v>
      </c>
      <c r="BC15" s="81" t="s">
        <v>82</v>
      </c>
      <c r="BD15" s="541"/>
      <c r="BE15" s="79" t="str">
        <f t="shared" si="0"/>
        <v>N/A</v>
      </c>
      <c r="BF15" s="541"/>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5"/>
      <c r="G16" s="522"/>
      <c r="H16" s="535"/>
      <c r="I16" s="522"/>
      <c r="J16" s="535"/>
      <c r="K16" s="522"/>
      <c r="L16" s="535"/>
      <c r="M16" s="522"/>
      <c r="N16" s="535"/>
      <c r="O16" s="522"/>
      <c r="P16" s="535"/>
      <c r="Q16" s="522"/>
      <c r="R16" s="535"/>
      <c r="S16" s="522"/>
      <c r="T16" s="535"/>
      <c r="U16" s="522"/>
      <c r="V16" s="535"/>
      <c r="W16" s="522"/>
      <c r="X16" s="535"/>
      <c r="Y16" s="522"/>
      <c r="Z16" s="535"/>
      <c r="AA16" s="522"/>
      <c r="AB16" s="535"/>
      <c r="AC16" s="522"/>
      <c r="AD16" s="535"/>
      <c r="AE16" s="522"/>
      <c r="AF16" s="535"/>
      <c r="AG16" s="522"/>
      <c r="AH16" s="535"/>
      <c r="AI16" s="522"/>
      <c r="AJ16" s="535"/>
      <c r="AK16" s="522"/>
      <c r="AL16" s="535"/>
      <c r="AM16" s="522"/>
      <c r="AN16" s="535"/>
      <c r="AO16" s="522"/>
      <c r="AP16" s="535"/>
      <c r="AQ16" s="522"/>
      <c r="AR16" s="535"/>
      <c r="AS16" s="522"/>
      <c r="AT16" s="535"/>
      <c r="AU16" s="522"/>
      <c r="AV16" s="535"/>
      <c r="AW16" s="522"/>
      <c r="AZ16" s="690">
        <v>8</v>
      </c>
      <c r="BA16" s="696" t="s">
        <v>520</v>
      </c>
      <c r="BB16" s="692" t="s">
        <v>298</v>
      </c>
      <c r="BC16" s="81"/>
      <c r="BD16" s="541"/>
      <c r="BE16" s="79" t="str">
        <f t="shared" si="0"/>
        <v>N/A</v>
      </c>
      <c r="BF16" s="541"/>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4" t="s">
        <v>559</v>
      </c>
      <c r="E17" s="218" t="s">
        <v>298</v>
      </c>
      <c r="F17" s="535"/>
      <c r="G17" s="522"/>
      <c r="H17" s="535"/>
      <c r="I17" s="522"/>
      <c r="J17" s="535"/>
      <c r="K17" s="522"/>
      <c r="L17" s="535"/>
      <c r="M17" s="522"/>
      <c r="N17" s="535"/>
      <c r="O17" s="522"/>
      <c r="P17" s="535"/>
      <c r="Q17" s="522"/>
      <c r="R17" s="535"/>
      <c r="S17" s="522"/>
      <c r="T17" s="535"/>
      <c r="U17" s="522"/>
      <c r="V17" s="535"/>
      <c r="W17" s="522"/>
      <c r="X17" s="535"/>
      <c r="Y17" s="522"/>
      <c r="Z17" s="535"/>
      <c r="AA17" s="522"/>
      <c r="AB17" s="535"/>
      <c r="AC17" s="522"/>
      <c r="AD17" s="535"/>
      <c r="AE17" s="522"/>
      <c r="AF17" s="535"/>
      <c r="AG17" s="522"/>
      <c r="AH17" s="535"/>
      <c r="AI17" s="522"/>
      <c r="AJ17" s="535"/>
      <c r="AK17" s="522"/>
      <c r="AL17" s="535"/>
      <c r="AM17" s="522"/>
      <c r="AN17" s="535"/>
      <c r="AO17" s="522"/>
      <c r="AP17" s="535"/>
      <c r="AQ17" s="522"/>
      <c r="AR17" s="535"/>
      <c r="AS17" s="522"/>
      <c r="AT17" s="535"/>
      <c r="AU17" s="522"/>
      <c r="AV17" s="535"/>
      <c r="AW17" s="522"/>
      <c r="AZ17" s="690">
        <v>9</v>
      </c>
      <c r="BA17" s="728" t="s">
        <v>559</v>
      </c>
      <c r="BB17" s="692" t="s">
        <v>298</v>
      </c>
      <c r="BC17" s="81" t="s">
        <v>82</v>
      </c>
      <c r="BD17" s="541"/>
      <c r="BE17" s="79" t="str">
        <f t="shared" si="0"/>
        <v>N/A</v>
      </c>
      <c r="BF17" s="541"/>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37"/>
      <c r="G18" s="527"/>
      <c r="H18" s="537"/>
      <c r="I18" s="527"/>
      <c r="J18" s="537"/>
      <c r="K18" s="527"/>
      <c r="L18" s="537"/>
      <c r="M18" s="527"/>
      <c r="N18" s="537"/>
      <c r="O18" s="527"/>
      <c r="P18" s="537"/>
      <c r="Q18" s="527"/>
      <c r="R18" s="537"/>
      <c r="S18" s="527"/>
      <c r="T18" s="537"/>
      <c r="U18" s="527"/>
      <c r="V18" s="537"/>
      <c r="W18" s="527"/>
      <c r="X18" s="537"/>
      <c r="Y18" s="527"/>
      <c r="Z18" s="537"/>
      <c r="AA18" s="527"/>
      <c r="AB18" s="537"/>
      <c r="AC18" s="527"/>
      <c r="AD18" s="537"/>
      <c r="AE18" s="527"/>
      <c r="AF18" s="537"/>
      <c r="AG18" s="527"/>
      <c r="AH18" s="537"/>
      <c r="AI18" s="527"/>
      <c r="AJ18" s="537"/>
      <c r="AK18" s="527"/>
      <c r="AL18" s="537"/>
      <c r="AM18" s="527"/>
      <c r="AN18" s="537"/>
      <c r="AO18" s="527"/>
      <c r="AP18" s="537"/>
      <c r="AQ18" s="527"/>
      <c r="AR18" s="537"/>
      <c r="AS18" s="527"/>
      <c r="AT18" s="537"/>
      <c r="AU18" s="527"/>
      <c r="AV18" s="537"/>
      <c r="AW18" s="527"/>
      <c r="AZ18" s="690">
        <v>10</v>
      </c>
      <c r="BA18" s="698" t="s">
        <v>516</v>
      </c>
      <c r="BB18" s="692" t="s">
        <v>298</v>
      </c>
      <c r="BC18" s="230"/>
      <c r="BD18" s="542"/>
      <c r="BE18" s="79" t="str">
        <f t="shared" si="0"/>
        <v>N/A</v>
      </c>
      <c r="BF18" s="541"/>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5" t="s">
        <v>317</v>
      </c>
      <c r="E19" s="218" t="s">
        <v>298</v>
      </c>
      <c r="F19" s="537"/>
      <c r="G19" s="527"/>
      <c r="H19" s="537"/>
      <c r="I19" s="527"/>
      <c r="J19" s="537"/>
      <c r="K19" s="527"/>
      <c r="L19" s="537"/>
      <c r="M19" s="527"/>
      <c r="N19" s="537"/>
      <c r="O19" s="527"/>
      <c r="P19" s="537"/>
      <c r="Q19" s="527"/>
      <c r="R19" s="537"/>
      <c r="S19" s="527"/>
      <c r="T19" s="537"/>
      <c r="U19" s="527"/>
      <c r="V19" s="537"/>
      <c r="W19" s="527"/>
      <c r="X19" s="537"/>
      <c r="Y19" s="527"/>
      <c r="Z19" s="537"/>
      <c r="AA19" s="527"/>
      <c r="AB19" s="537"/>
      <c r="AC19" s="527"/>
      <c r="AD19" s="537"/>
      <c r="AE19" s="527"/>
      <c r="AF19" s="537"/>
      <c r="AG19" s="527"/>
      <c r="AH19" s="537"/>
      <c r="AI19" s="527"/>
      <c r="AJ19" s="537"/>
      <c r="AK19" s="527"/>
      <c r="AL19" s="537"/>
      <c r="AM19" s="527"/>
      <c r="AN19" s="537"/>
      <c r="AO19" s="527"/>
      <c r="AP19" s="537"/>
      <c r="AQ19" s="527"/>
      <c r="AR19" s="537"/>
      <c r="AS19" s="527"/>
      <c r="AT19" s="537"/>
      <c r="AU19" s="527"/>
      <c r="AV19" s="537"/>
      <c r="AW19" s="527"/>
      <c r="AZ19" s="692">
        <v>11</v>
      </c>
      <c r="BA19" s="729" t="s">
        <v>317</v>
      </c>
      <c r="BB19" s="692" t="s">
        <v>298</v>
      </c>
      <c r="BC19" s="230" t="s">
        <v>82</v>
      </c>
      <c r="BD19" s="542"/>
      <c r="BE19" s="79" t="str">
        <f t="shared" si="0"/>
        <v>N/A</v>
      </c>
      <c r="BF19" s="541"/>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5"/>
      <c r="D20" s="726" t="s">
        <v>486</v>
      </c>
      <c r="E20" s="529"/>
      <c r="F20" s="545"/>
      <c r="G20" s="546"/>
      <c r="H20" s="545"/>
      <c r="I20" s="546"/>
      <c r="J20" s="545"/>
      <c r="K20" s="546"/>
      <c r="L20" s="545"/>
      <c r="M20" s="546"/>
      <c r="N20" s="545"/>
      <c r="O20" s="546"/>
      <c r="P20" s="545"/>
      <c r="Q20" s="546"/>
      <c r="R20" s="545"/>
      <c r="S20" s="546"/>
      <c r="T20" s="545"/>
      <c r="U20" s="546"/>
      <c r="V20" s="545"/>
      <c r="W20" s="546"/>
      <c r="X20" s="545"/>
      <c r="Y20" s="546"/>
      <c r="Z20" s="545"/>
      <c r="AA20" s="546"/>
      <c r="AB20" s="545"/>
      <c r="AC20" s="546"/>
      <c r="AD20" s="545"/>
      <c r="AE20" s="546"/>
      <c r="AF20" s="545"/>
      <c r="AG20" s="546"/>
      <c r="AH20" s="545"/>
      <c r="AI20" s="546"/>
      <c r="AJ20" s="545"/>
      <c r="AK20" s="546"/>
      <c r="AL20" s="545"/>
      <c r="AM20" s="546"/>
      <c r="AN20" s="545"/>
      <c r="AO20" s="546"/>
      <c r="AP20" s="545"/>
      <c r="AQ20" s="546"/>
      <c r="AR20" s="545"/>
      <c r="AS20" s="546"/>
      <c r="AT20" s="545"/>
      <c r="AU20" s="546"/>
      <c r="AV20" s="545"/>
      <c r="AW20" s="546"/>
      <c r="AZ20" s="730"/>
      <c r="BA20" s="731" t="s">
        <v>486</v>
      </c>
      <c r="BB20" s="730"/>
      <c r="BC20" s="230" t="s">
        <v>82</v>
      </c>
      <c r="BD20" s="542"/>
      <c r="BE20" s="79"/>
      <c r="BF20" s="541"/>
      <c r="BG20" s="82"/>
      <c r="BH20" s="82"/>
      <c r="BI20" s="401"/>
      <c r="BJ20" s="542"/>
      <c r="BK20" s="230"/>
      <c r="BL20" s="542"/>
      <c r="BM20" s="230"/>
      <c r="BN20" s="542"/>
      <c r="BO20" s="230"/>
      <c r="BP20" s="542"/>
      <c r="BQ20" s="230"/>
      <c r="BR20" s="542"/>
      <c r="BS20" s="230"/>
      <c r="BT20" s="542"/>
      <c r="BU20" s="230"/>
      <c r="BV20" s="542"/>
      <c r="BW20" s="401"/>
      <c r="BX20" s="542"/>
      <c r="BY20" s="230"/>
      <c r="BZ20" s="542"/>
      <c r="CA20" s="230"/>
      <c r="CB20" s="542"/>
      <c r="CC20" s="230"/>
      <c r="CD20" s="542"/>
      <c r="CE20" s="82"/>
      <c r="CF20" s="542"/>
      <c r="CG20" s="230"/>
      <c r="CH20" s="542"/>
      <c r="CI20" s="230"/>
      <c r="CJ20" s="542"/>
      <c r="CK20" s="230"/>
      <c r="CL20" s="542"/>
      <c r="CM20" s="82"/>
      <c r="CN20" s="542"/>
      <c r="CO20" s="82"/>
      <c r="CP20" s="82"/>
      <c r="CQ20" s="82"/>
      <c r="CR20" s="82"/>
      <c r="CS20" s="82"/>
      <c r="CT20" s="82"/>
    </row>
    <row r="21" spans="1:98" s="402" customFormat="1" ht="25.5" customHeight="1">
      <c r="A21" s="343"/>
      <c r="B21" s="212">
        <v>277</v>
      </c>
      <c r="C21" s="333">
        <v>12</v>
      </c>
      <c r="D21" s="225" t="s">
        <v>17</v>
      </c>
      <c r="E21" s="218" t="s">
        <v>262</v>
      </c>
      <c r="F21" s="535">
        <v>99.9000015258789</v>
      </c>
      <c r="G21" s="522"/>
      <c r="H21" s="535">
        <v>99.9000015258789</v>
      </c>
      <c r="I21" s="522"/>
      <c r="J21" s="535">
        <v>99.9000015258789</v>
      </c>
      <c r="K21" s="522"/>
      <c r="L21" s="535">
        <v>99.9000015258789</v>
      </c>
      <c r="M21" s="522"/>
      <c r="N21" s="535">
        <v>99.9000015258789</v>
      </c>
      <c r="O21" s="522"/>
      <c r="P21" s="535">
        <v>99.9000015258789</v>
      </c>
      <c r="Q21" s="522"/>
      <c r="R21" s="535">
        <v>99.9000015258789</v>
      </c>
      <c r="S21" s="522"/>
      <c r="T21" s="535">
        <v>99.9000015258789</v>
      </c>
      <c r="U21" s="522"/>
      <c r="V21" s="535">
        <v>99.9000015258789</v>
      </c>
      <c r="W21" s="522"/>
      <c r="X21" s="535">
        <v>99.9000015258789</v>
      </c>
      <c r="Y21" s="522"/>
      <c r="Z21" s="535">
        <v>99.9000015258789</v>
      </c>
      <c r="AA21" s="522"/>
      <c r="AB21" s="535">
        <v>99.9000015258789</v>
      </c>
      <c r="AC21" s="522"/>
      <c r="AD21" s="535">
        <v>99.9000015258789</v>
      </c>
      <c r="AE21" s="522"/>
      <c r="AF21" s="535">
        <v>99.9000015258789</v>
      </c>
      <c r="AG21" s="522"/>
      <c r="AH21" s="535">
        <v>99.9000015258789</v>
      </c>
      <c r="AI21" s="522"/>
      <c r="AJ21" s="535">
        <v>99.9899978637695</v>
      </c>
      <c r="AK21" s="522"/>
      <c r="AL21" s="535"/>
      <c r="AM21" s="522"/>
      <c r="AN21" s="535"/>
      <c r="AO21" s="522"/>
      <c r="AP21" s="535"/>
      <c r="AQ21" s="522"/>
      <c r="AR21" s="535"/>
      <c r="AS21" s="522"/>
      <c r="AT21" s="535"/>
      <c r="AU21" s="522"/>
      <c r="AV21" s="535"/>
      <c r="AW21" s="522"/>
      <c r="AY21" s="342"/>
      <c r="AZ21" s="693">
        <v>12</v>
      </c>
      <c r="BA21" s="727" t="s">
        <v>17</v>
      </c>
      <c r="BB21" s="692" t="s">
        <v>262</v>
      </c>
      <c r="BC21" s="81" t="s">
        <v>82</v>
      </c>
      <c r="BD21" s="541"/>
      <c r="BE21" s="79" t="str">
        <f>IF(OR(ISBLANK(F21),ISBLANK(H21)),"N/A",IF(ABS((H21-F21)/F21)&gt;0.25,"&gt; 25%","ok"))</f>
        <v>ok</v>
      </c>
      <c r="BF21" s="541"/>
      <c r="BG21" s="82" t="str">
        <f>IF(OR(ISBLANK(H21),ISBLANK(J21)),"N/A",IF(ABS((J21-H21)/H21)&gt;0.25,"&gt; 25%","ok"))</f>
        <v>ok</v>
      </c>
      <c r="BH21" s="82"/>
      <c r="BI21" s="82" t="str">
        <f>IF(OR(ISBLANK(J21),ISBLANK(L21)),"N/A",IF(ABS(L21-J21)&gt;25,"&gt; 25%","ok"))</f>
        <v>ok</v>
      </c>
      <c r="BJ21" s="82"/>
      <c r="BK21" s="82" t="str">
        <f>IF(OR(ISBLANK(L21),ISBLANK(N21)),"N/A",IF(ABS(N21-L21)&gt;25,"&gt; 25%","ok"))</f>
        <v>ok</v>
      </c>
      <c r="BL21" s="82"/>
      <c r="BM21" s="82" t="str">
        <f>IF(OR(ISBLANK(N21),ISBLANK(P21)),"N/A",IF(ABS(P21-N21)&gt;25,"&gt; 25%","ok"))</f>
        <v>ok</v>
      </c>
      <c r="BN21" s="82"/>
      <c r="BO21" s="82" t="str">
        <f>IF(OR(ISBLANK(P21),ISBLANK(R21)),"N/A",IF(ABS(R21-P21)&gt;25,"&gt; 25%","ok"))</f>
        <v>ok</v>
      </c>
      <c r="BP21" s="82"/>
      <c r="BQ21" s="82" t="str">
        <f>IF(OR(ISBLANK(R21),ISBLANK(T21)),"N/A",IF(ABS(T21-R21)&gt;25,"&gt; 25%","ok"))</f>
        <v>ok</v>
      </c>
      <c r="BR21" s="82"/>
      <c r="BS21" s="82" t="str">
        <f>IF(OR(ISBLANK(T21),ISBLANK(V21)),"N/A",IF(ABS(V21-T21)&gt;25,"&gt; 25%","ok"))</f>
        <v>ok</v>
      </c>
      <c r="BT21" s="82"/>
      <c r="BU21" s="82" t="str">
        <f>IF(OR(ISBLANK(V21),ISBLANK(X21)),"N/A",IF(ABS(X21-V21)&gt;25,"&gt; 25%","ok"))</f>
        <v>ok</v>
      </c>
      <c r="BV21" s="82"/>
      <c r="BW21" s="82" t="str">
        <f>IF(OR(ISBLANK(X21),ISBLANK(Z21)),"N/A",IF(ABS(Z21-X21)&gt;25,"&gt; 25%","ok"))</f>
        <v>ok</v>
      </c>
      <c r="BX21" s="82"/>
      <c r="BY21" s="82" t="str">
        <f>IF(OR(ISBLANK(Z21),ISBLANK(AB21)),"N/A",IF(ABS(AB21-Z21)&gt;25,"&gt; 25%","ok"))</f>
        <v>ok</v>
      </c>
      <c r="BZ21" s="82"/>
      <c r="CA21" s="82" t="str">
        <f>IF(OR(ISBLANK(AB21),ISBLANK(AD21)),"N/A",IF(ABS(AD21-AB21)&gt;25,"&gt; 25%","ok"))</f>
        <v>ok</v>
      </c>
      <c r="CB21" s="82"/>
      <c r="CC21" s="82" t="str">
        <f>IF(OR(ISBLANK(AD21),ISBLANK(AF21)),"N/A",IF(ABS(AF21-AD21)&gt;25,"&gt; 25%","ok"))</f>
        <v>ok</v>
      </c>
      <c r="CD21" s="82"/>
      <c r="CE21" s="82" t="str">
        <f>IF(OR(ISBLANK(AF21),ISBLANK(AH21)),"N/A",IF(ABS((AH21-AF21)/AF21)&gt;0.25,"&gt; 25%","ok"))</f>
        <v>ok</v>
      </c>
      <c r="CF21" s="541"/>
      <c r="CG21" s="82" t="str">
        <f>IF(OR(ISBLANK(AH21),ISBLANK(AJ21)),"N/A",IF(ABS(AJ21-AH21)&gt;25,"&gt; 25%","ok"))</f>
        <v>ok</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5"/>
      <c r="G22" s="522"/>
      <c r="H22" s="535"/>
      <c r="I22" s="522"/>
      <c r="J22" s="535"/>
      <c r="K22" s="522"/>
      <c r="L22" s="535"/>
      <c r="M22" s="522"/>
      <c r="N22" s="535"/>
      <c r="O22" s="522"/>
      <c r="P22" s="535"/>
      <c r="Q22" s="522"/>
      <c r="R22" s="535"/>
      <c r="S22" s="522"/>
      <c r="T22" s="535"/>
      <c r="U22" s="522"/>
      <c r="V22" s="535"/>
      <c r="W22" s="522"/>
      <c r="X22" s="535"/>
      <c r="Y22" s="522"/>
      <c r="Z22" s="535"/>
      <c r="AA22" s="522"/>
      <c r="AB22" s="535"/>
      <c r="AC22" s="522"/>
      <c r="AD22" s="535"/>
      <c r="AE22" s="522"/>
      <c r="AF22" s="535"/>
      <c r="AG22" s="522"/>
      <c r="AH22" s="535"/>
      <c r="AI22" s="522"/>
      <c r="AJ22" s="535"/>
      <c r="AK22" s="522"/>
      <c r="AL22" s="535"/>
      <c r="AM22" s="522"/>
      <c r="AN22" s="535"/>
      <c r="AO22" s="522"/>
      <c r="AP22" s="535"/>
      <c r="AQ22" s="522"/>
      <c r="AR22" s="535"/>
      <c r="AS22" s="522"/>
      <c r="AT22" s="535"/>
      <c r="AU22" s="522"/>
      <c r="AV22" s="535"/>
      <c r="AW22" s="522"/>
      <c r="AY22" s="342"/>
      <c r="AZ22" s="692">
        <v>13</v>
      </c>
      <c r="BA22" s="704" t="s">
        <v>492</v>
      </c>
      <c r="BB22" s="692" t="s">
        <v>262</v>
      </c>
      <c r="BC22" s="81" t="s">
        <v>82</v>
      </c>
      <c r="BD22" s="541"/>
      <c r="BE22" s="79" t="str">
        <f>IF(OR(ISBLANK(F22),ISBLANK(H22)),"N/A",IF(ABS((H22-F22)/F22)&gt;0.25,"&gt; 25%","ok"))</f>
        <v>N/A</v>
      </c>
      <c r="BF22" s="541"/>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1"/>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6"/>
      <c r="G23" s="528"/>
      <c r="H23" s="516"/>
      <c r="I23" s="528"/>
      <c r="J23" s="516"/>
      <c r="K23" s="528"/>
      <c r="L23" s="516"/>
      <c r="M23" s="528"/>
      <c r="N23" s="516"/>
      <c r="O23" s="528"/>
      <c r="P23" s="516"/>
      <c r="Q23" s="528"/>
      <c r="R23" s="516"/>
      <c r="S23" s="528"/>
      <c r="T23" s="516"/>
      <c r="U23" s="528"/>
      <c r="V23" s="516"/>
      <c r="W23" s="528"/>
      <c r="X23" s="516"/>
      <c r="Y23" s="528"/>
      <c r="Z23" s="516"/>
      <c r="AA23" s="528"/>
      <c r="AB23" s="516"/>
      <c r="AC23" s="528"/>
      <c r="AD23" s="516"/>
      <c r="AE23" s="528"/>
      <c r="AF23" s="516"/>
      <c r="AG23" s="528"/>
      <c r="AH23" s="516"/>
      <c r="AI23" s="528"/>
      <c r="AJ23" s="516"/>
      <c r="AK23" s="528"/>
      <c r="AL23" s="516"/>
      <c r="AM23" s="528"/>
      <c r="AN23" s="516"/>
      <c r="AO23" s="528"/>
      <c r="AP23" s="516"/>
      <c r="AQ23" s="528"/>
      <c r="AR23" s="516"/>
      <c r="AS23" s="528"/>
      <c r="AT23" s="516"/>
      <c r="AU23" s="528"/>
      <c r="AV23" s="516"/>
      <c r="AW23" s="528"/>
      <c r="AY23" s="342"/>
      <c r="AZ23" s="732">
        <v>14</v>
      </c>
      <c r="BA23" s="733" t="s">
        <v>493</v>
      </c>
      <c r="BB23" s="732" t="s">
        <v>262</v>
      </c>
      <c r="BC23" s="94" t="s">
        <v>82</v>
      </c>
      <c r="BD23" s="543"/>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3"/>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5" t="s">
        <v>45</v>
      </c>
      <c r="BA24" s="734"/>
      <c r="BB24" s="734"/>
    </row>
    <row r="25" spans="3:98" ht="15" customHeight="1">
      <c r="C25" s="316" t="s">
        <v>304</v>
      </c>
      <c r="D25" s="404"/>
      <c r="E25" s="405"/>
      <c r="F25" s="316"/>
      <c r="G25" s="316"/>
      <c r="AZ25" s="707" t="s">
        <v>286</v>
      </c>
      <c r="BA25" s="707" t="s">
        <v>287</v>
      </c>
      <c r="BB25" s="707"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4" t="s">
        <v>122</v>
      </c>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406"/>
      <c r="AZ26" s="692">
        <v>3</v>
      </c>
      <c r="BA26" s="727" t="s">
        <v>536</v>
      </c>
      <c r="BB26" s="692" t="s">
        <v>298</v>
      </c>
      <c r="BC26" s="81">
        <f>F10</f>
        <v>924</v>
      </c>
      <c r="BD26" s="81"/>
      <c r="BE26" s="81">
        <f>H10</f>
        <v>940</v>
      </c>
      <c r="BF26" s="81"/>
      <c r="BG26" s="81">
        <f>J10</f>
        <v>949</v>
      </c>
      <c r="BH26" s="81"/>
      <c r="BI26" s="81">
        <f>L10</f>
        <v>974</v>
      </c>
      <c r="BJ26" s="81"/>
      <c r="BK26" s="81">
        <f>N10</f>
        <v>955</v>
      </c>
      <c r="BL26" s="81"/>
      <c r="BM26" s="81">
        <f>P10</f>
        <v>968</v>
      </c>
      <c r="BN26" s="81"/>
      <c r="BO26" s="81">
        <f>R10</f>
        <v>963</v>
      </c>
      <c r="BP26" s="81"/>
      <c r="BQ26" s="81">
        <f>T10</f>
        <v>951</v>
      </c>
      <c r="BR26" s="81"/>
      <c r="BS26" s="81">
        <f>V10</f>
        <v>956</v>
      </c>
      <c r="BT26" s="81"/>
      <c r="BU26" s="81">
        <f>X10</f>
        <v>952</v>
      </c>
      <c r="BV26" s="81"/>
      <c r="BW26" s="81">
        <f>Z10</f>
        <v>936</v>
      </c>
      <c r="BX26" s="81"/>
      <c r="BY26" s="81">
        <f>AB10</f>
        <v>923</v>
      </c>
      <c r="BZ26" s="81"/>
      <c r="CA26" s="81">
        <f>AD10</f>
        <v>935</v>
      </c>
      <c r="CB26" s="81"/>
      <c r="CC26" s="81">
        <f>AF10</f>
        <v>933</v>
      </c>
      <c r="CD26" s="81"/>
      <c r="CE26" s="81">
        <f>AH10</f>
        <v>959</v>
      </c>
      <c r="CF26" s="81"/>
      <c r="CG26" s="81">
        <f>AJ10</f>
        <v>973</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4" t="s">
        <v>143</v>
      </c>
      <c r="E27" s="824"/>
      <c r="F27" s="824"/>
      <c r="G27" s="824"/>
      <c r="H27" s="824"/>
      <c r="I27" s="824"/>
      <c r="J27" s="824"/>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4" t="s">
        <v>625</v>
      </c>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4" t="s">
        <v>251</v>
      </c>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246"/>
      <c r="AW29" s="246"/>
      <c r="AX29" s="246"/>
      <c r="AY29" s="406"/>
      <c r="AZ29" s="261">
        <v>16</v>
      </c>
      <c r="BA29" s="249" t="s">
        <v>570</v>
      </c>
      <c r="BB29" s="81" t="s">
        <v>298</v>
      </c>
      <c r="BC29" s="81">
        <f>SUM(F12:F16)+SUM(F18:F19)</f>
        <v>286</v>
      </c>
      <c r="BD29" s="81"/>
      <c r="BE29" s="81">
        <f>SUM(H12:H16)+SUM(H18:H19)</f>
        <v>297</v>
      </c>
      <c r="BF29" s="81"/>
      <c r="BG29" s="81">
        <f>SUM(J12:J16)+SUM(J18:J19)</f>
        <v>303</v>
      </c>
      <c r="BH29" s="81"/>
      <c r="BI29" s="81">
        <f>SUM(L12:L16)+SUM(L18:L19)</f>
        <v>320</v>
      </c>
      <c r="BJ29" s="81"/>
      <c r="BK29" s="81">
        <f>SUM(N12:N16)+SUM(N18:N19)</f>
        <v>319</v>
      </c>
      <c r="BL29" s="81"/>
      <c r="BM29" s="81">
        <f>SUM(P12:P16)+SUM(P18:P19)</f>
        <v>323</v>
      </c>
      <c r="BN29" s="81"/>
      <c r="BO29" s="81">
        <f>SUM(R12:R16)+SUM(R18:R19)</f>
        <v>322</v>
      </c>
      <c r="BP29" s="81"/>
      <c r="BQ29" s="81">
        <f>SUM(T12:T16)+SUM(T18:T19)</f>
        <v>323</v>
      </c>
      <c r="BR29" s="81"/>
      <c r="BS29" s="81">
        <f>SUM(V12:V16)+SUM(V18:V19)</f>
        <v>330</v>
      </c>
      <c r="BT29" s="81"/>
      <c r="BU29" s="81">
        <f>SUM(X12:X16)+SUM(X18:X19)</f>
        <v>337</v>
      </c>
      <c r="BV29" s="81"/>
      <c r="BW29" s="81">
        <f>SUM(Z12:Z16)+SUM(Z18:Z19)</f>
        <v>333</v>
      </c>
      <c r="BX29" s="81"/>
      <c r="BY29" s="81">
        <f>SUM(AB12:AB16)+SUM(AB18:AB19)</f>
        <v>337</v>
      </c>
      <c r="BZ29" s="81"/>
      <c r="CA29" s="81">
        <f>SUM(AD12:AD16)+SUM(AD18:AD19)</f>
        <v>341</v>
      </c>
      <c r="CB29" s="81"/>
      <c r="CC29" s="81">
        <f>SUM(AF12:AF16)+SUM(AF18:AF19)</f>
        <v>346</v>
      </c>
      <c r="CD29" s="81"/>
      <c r="CE29" s="81">
        <f>SUM(AH12:AH16)+SUM(AH18:AH19)</f>
        <v>348</v>
      </c>
      <c r="CF29" s="81"/>
      <c r="CG29" s="81">
        <f>SUM(AJ12:AJ16)+SUM(AJ18:AJ19)</f>
        <v>354</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4" t="s">
        <v>110</v>
      </c>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18"/>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8"/>
      <c r="AV31" s="818"/>
      <c r="AW31" s="818"/>
      <c r="AX31" s="818"/>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5" t="str">
        <f>D12&amp;" (W3,4)"</f>
        <v>Households (W3,4)</v>
      </c>
      <c r="V32" s="886"/>
      <c r="W32" s="886"/>
      <c r="X32" s="886"/>
      <c r="Y32" s="886"/>
      <c r="Z32" s="886"/>
      <c r="AA32" s="886"/>
      <c r="AB32" s="887"/>
      <c r="AC32" s="252"/>
      <c r="AD32" s="252"/>
      <c r="AE32" s="252"/>
      <c r="AF32" s="252"/>
      <c r="AG32" s="252"/>
      <c r="AH32" s="252"/>
      <c r="AI32" s="252"/>
      <c r="AJ32" s="252"/>
      <c r="AK32" s="252"/>
      <c r="AL32" s="800"/>
      <c r="AM32" s="800"/>
      <c r="AN32" s="800"/>
      <c r="AO32" s="800"/>
      <c r="AP32" s="800"/>
      <c r="AQ32" s="800"/>
      <c r="AR32" s="800"/>
      <c r="AS32" s="800"/>
      <c r="AT32" s="800"/>
      <c r="AU32" s="800"/>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6" t="str">
        <f>LEFT(D10,LEN(D10)-25)&amp;" (W3,3)"</f>
        <v>Net freshwater supplied by water supply industry (ISIC 36)   (W3,3)</v>
      </c>
      <c r="L33" s="877"/>
      <c r="M33" s="877"/>
      <c r="N33" s="878"/>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3" t="str">
        <f>D8&amp;" (W3, 1)"</f>
        <v>Gross freshwater supplied by water supply industry (ISIC 36) (W3, 1)</v>
      </c>
      <c r="E34" s="253"/>
      <c r="F34" s="555"/>
      <c r="G34" s="555"/>
      <c r="H34" s="555"/>
      <c r="I34" s="555"/>
      <c r="J34" s="555"/>
      <c r="K34" s="879"/>
      <c r="L34" s="880"/>
      <c r="M34" s="880"/>
      <c r="N34" s="881"/>
      <c r="O34" s="555"/>
      <c r="P34" s="893" t="s">
        <v>16</v>
      </c>
      <c r="Q34" s="893"/>
      <c r="R34" s="555"/>
      <c r="S34" s="555"/>
      <c r="T34" s="555"/>
      <c r="U34" s="885" t="str">
        <f>D13&amp;" (W3,5)"</f>
        <v>Agriculture, forestry and fishing (ISIC 01-03) (W3,5)</v>
      </c>
      <c r="V34" s="886"/>
      <c r="W34" s="886"/>
      <c r="X34" s="886"/>
      <c r="Y34" s="886"/>
      <c r="Z34" s="886"/>
      <c r="AA34" s="886"/>
      <c r="AB34" s="887"/>
      <c r="AC34" s="254"/>
      <c r="AD34" s="253"/>
      <c r="AE34" s="551"/>
      <c r="AF34" s="551"/>
      <c r="AG34" s="413"/>
      <c r="AH34" s="896"/>
      <c r="AI34" s="896"/>
      <c r="AJ34" s="252"/>
      <c r="AK34" s="252"/>
      <c r="AL34" s="800"/>
      <c r="AM34" s="800"/>
      <c r="AN34" s="800"/>
      <c r="AO34" s="800"/>
      <c r="AP34" s="800"/>
      <c r="AQ34" s="800"/>
      <c r="AR34" s="800"/>
      <c r="AS34" s="800"/>
      <c r="AT34" s="800"/>
      <c r="AU34" s="800"/>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4"/>
      <c r="E35" s="555"/>
      <c r="F35" s="555"/>
      <c r="G35" s="555"/>
      <c r="H35" s="555"/>
      <c r="I35" s="555"/>
      <c r="J35" s="555"/>
      <c r="K35" s="879"/>
      <c r="L35" s="880"/>
      <c r="M35" s="880"/>
      <c r="N35" s="881"/>
      <c r="O35" s="555"/>
      <c r="P35" s="555"/>
      <c r="Q35" s="555"/>
      <c r="R35" s="555"/>
      <c r="S35" s="555"/>
      <c r="T35" s="555"/>
      <c r="U35" s="555"/>
      <c r="V35" s="555"/>
      <c r="W35" s="555"/>
      <c r="X35" s="555"/>
      <c r="Y35" s="555"/>
      <c r="Z35" s="555"/>
      <c r="AA35" s="255"/>
      <c r="AB35" s="254"/>
      <c r="AC35" s="254"/>
      <c r="AD35" s="551"/>
      <c r="AE35" s="551"/>
      <c r="AF35" s="551"/>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4"/>
      <c r="E36" s="555"/>
      <c r="F36" s="555"/>
      <c r="G36" s="555"/>
      <c r="H36" s="555"/>
      <c r="I36" s="555"/>
      <c r="J36" s="555"/>
      <c r="K36" s="879"/>
      <c r="L36" s="880"/>
      <c r="M36" s="880"/>
      <c r="N36" s="881"/>
      <c r="O36" s="555"/>
      <c r="P36" s="555"/>
      <c r="Q36" s="555"/>
      <c r="R36" s="555"/>
      <c r="S36" s="555"/>
      <c r="T36" s="555"/>
      <c r="U36" s="885" t="str">
        <f>D14&amp;" (W3,6)"</f>
        <v>Mining and quarrying (ISIC 05-09) (W3,6)</v>
      </c>
      <c r="V36" s="886"/>
      <c r="W36" s="886"/>
      <c r="X36" s="886"/>
      <c r="Y36" s="886"/>
      <c r="Z36" s="886"/>
      <c r="AA36" s="886"/>
      <c r="AB36" s="887"/>
      <c r="AC36" s="254"/>
      <c r="AD36" s="551"/>
      <c r="AE36" s="551"/>
      <c r="AF36" s="551"/>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4"/>
      <c r="E37" s="555"/>
      <c r="F37" s="555"/>
      <c r="G37" s="555"/>
      <c r="H37" s="555"/>
      <c r="I37" s="555"/>
      <c r="J37" s="555"/>
      <c r="K37" s="879"/>
      <c r="L37" s="880"/>
      <c r="M37" s="880"/>
      <c r="N37" s="881"/>
      <c r="O37" s="555"/>
      <c r="P37" s="555"/>
      <c r="Q37" s="555"/>
      <c r="R37" s="555"/>
      <c r="S37" s="555"/>
      <c r="T37" s="555"/>
      <c r="U37" s="555"/>
      <c r="V37" s="555"/>
      <c r="W37" s="555"/>
      <c r="X37" s="555"/>
      <c r="Y37" s="555"/>
      <c r="Z37" s="555"/>
      <c r="AA37" s="255"/>
      <c r="AB37" s="254"/>
      <c r="AC37" s="254"/>
      <c r="AD37" s="551"/>
      <c r="AE37" s="551"/>
      <c r="AF37" s="551"/>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5"/>
      <c r="E38" s="555"/>
      <c r="F38" s="555"/>
      <c r="G38" s="555"/>
      <c r="H38" s="555"/>
      <c r="I38" s="555"/>
      <c r="J38" s="555"/>
      <c r="K38" s="882"/>
      <c r="L38" s="883"/>
      <c r="M38" s="883"/>
      <c r="N38" s="884"/>
      <c r="O38" s="555"/>
      <c r="P38" s="555"/>
      <c r="Q38" s="555"/>
      <c r="R38" s="555"/>
      <c r="S38" s="555"/>
      <c r="T38" s="555"/>
      <c r="U38" s="885" t="str">
        <f>D15&amp;" (W3,7)"</f>
        <v>Manufacturing (ISIC 10-33) (W3,7)</v>
      </c>
      <c r="V38" s="886"/>
      <c r="W38" s="886"/>
      <c r="X38" s="886"/>
      <c r="Y38" s="886"/>
      <c r="Z38" s="886"/>
      <c r="AA38" s="886"/>
      <c r="AB38" s="887"/>
      <c r="AC38" s="254"/>
      <c r="AD38" s="551"/>
      <c r="AE38" s="551"/>
      <c r="AF38" s="551"/>
      <c r="AG38" s="252"/>
      <c r="AH38" s="252"/>
      <c r="AI38" s="252"/>
      <c r="AJ38" s="252"/>
      <c r="AK38" s="252"/>
      <c r="AL38" s="800"/>
      <c r="AM38" s="800"/>
      <c r="AN38" s="800"/>
      <c r="AO38" s="800"/>
      <c r="AP38" s="800"/>
      <c r="AQ38" s="800"/>
      <c r="AR38" s="800"/>
      <c r="AS38" s="800"/>
      <c r="AT38" s="800"/>
      <c r="AU38" s="800"/>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5" t="str">
        <f>D16&amp;" (W3,8)"</f>
        <v>Electricity, gas, steam and air conditioning supply  (ISIC 35) (W3,8)</v>
      </c>
      <c r="V40" s="886"/>
      <c r="W40" s="886"/>
      <c r="X40" s="886"/>
      <c r="Y40" s="886"/>
      <c r="Z40" s="886"/>
      <c r="AA40" s="886"/>
      <c r="AB40" s="887"/>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5" t="str">
        <f>D18&amp;" (W3,10)"</f>
        <v>Construction (ISIC 41-43) (W3,10)</v>
      </c>
      <c r="V42" s="886"/>
      <c r="W42" s="886"/>
      <c r="X42" s="886"/>
      <c r="Y42" s="886"/>
      <c r="Z42" s="886"/>
      <c r="AA42" s="886"/>
      <c r="AB42" s="887"/>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6" t="str">
        <f>D9&amp;" (W3, 2)"</f>
        <v>Losses during transport by ISIC 36 (W3, 2)</v>
      </c>
      <c r="F43" s="888"/>
      <c r="G43" s="888"/>
      <c r="H43" s="889"/>
      <c r="I43" s="255"/>
      <c r="J43" s="255"/>
      <c r="K43" s="255"/>
      <c r="L43" s="255"/>
      <c r="M43" s="255"/>
      <c r="N43" s="255"/>
      <c r="O43" s="255"/>
      <c r="P43" s="255"/>
      <c r="Q43" s="255"/>
      <c r="R43" s="255"/>
      <c r="S43" s="255"/>
      <c r="T43" s="255"/>
      <c r="U43" s="255"/>
      <c r="V43" s="255"/>
      <c r="W43" s="255"/>
      <c r="X43" s="409"/>
      <c r="Y43" s="253"/>
      <c r="Z43" s="253"/>
      <c r="AA43" s="549"/>
      <c r="AB43" s="549"/>
      <c r="AC43" s="549"/>
      <c r="AD43" s="549"/>
      <c r="AE43" s="549"/>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0"/>
      <c r="F44" s="891"/>
      <c r="G44" s="891"/>
      <c r="H44" s="892"/>
      <c r="I44" s="255"/>
      <c r="J44" s="255"/>
      <c r="K44" s="255"/>
      <c r="L44" s="255"/>
      <c r="M44" s="255"/>
      <c r="N44" s="255"/>
      <c r="O44" s="255"/>
      <c r="P44" s="255"/>
      <c r="Q44" s="255"/>
      <c r="R44" s="255"/>
      <c r="S44" s="255"/>
      <c r="T44" s="255"/>
      <c r="U44" s="885" t="str">
        <f>D19&amp;" (W3,11)"</f>
        <v>Other economic activities (W3,11)</v>
      </c>
      <c r="V44" s="886"/>
      <c r="W44" s="886"/>
      <c r="X44" s="886"/>
      <c r="Y44" s="886"/>
      <c r="Z44" s="886"/>
      <c r="AA44" s="886"/>
      <c r="AB44" s="887"/>
      <c r="AC44" s="549"/>
      <c r="AD44" s="549"/>
      <c r="AE44" s="549"/>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7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925">
        <v>0</v>
      </c>
      <c r="B49" s="926">
        <v>3114</v>
      </c>
      <c r="C49" s="484" t="s">
        <v>646</v>
      </c>
      <c r="D49" s="825" t="s">
        <v>656</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7"/>
      <c r="AY49" s="421"/>
      <c r="AZ49" s="418"/>
    </row>
    <row r="50" spans="1:52" ht="18" customHeight="1">
      <c r="A50" s="925">
        <v>1</v>
      </c>
      <c r="B50" s="926">
        <v>2746</v>
      </c>
      <c r="C50" s="484" t="s">
        <v>648</v>
      </c>
      <c r="D50" s="802" t="s">
        <v>655</v>
      </c>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c r="AY50" s="421"/>
      <c r="AZ50" s="418"/>
    </row>
    <row r="51" spans="3:52" ht="18" customHeight="1">
      <c r="C51" s="484"/>
      <c r="D51" s="802"/>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c r="AY51" s="421"/>
      <c r="AZ51" s="418"/>
    </row>
    <row r="52" spans="3:52" ht="18" customHeight="1">
      <c r="C52" s="484"/>
      <c r="D52" s="802"/>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4"/>
      <c r="AY52" s="421"/>
      <c r="AZ52" s="418"/>
    </row>
    <row r="53" spans="3:52" ht="18" customHeight="1">
      <c r="C53" s="484"/>
      <c r="D53" s="802"/>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04"/>
      <c r="AY53" s="421"/>
      <c r="AZ53" s="418"/>
    </row>
    <row r="54" spans="3:52" ht="18" customHeight="1">
      <c r="C54" s="484"/>
      <c r="D54" s="802"/>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04"/>
      <c r="AY54" s="421"/>
      <c r="AZ54" s="418"/>
    </row>
    <row r="55" spans="3:52" ht="18" customHeight="1">
      <c r="C55" s="484"/>
      <c r="D55" s="802"/>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04"/>
      <c r="AY55" s="421"/>
      <c r="AZ55" s="418"/>
    </row>
    <row r="56" spans="3:97" ht="18" customHeight="1">
      <c r="C56" s="484"/>
      <c r="D56" s="802"/>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2"/>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2"/>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2"/>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4"/>
      <c r="AY59" s="421"/>
      <c r="CT59" s="382"/>
    </row>
    <row r="60" spans="3:51" ht="18" customHeight="1">
      <c r="C60" s="484"/>
      <c r="D60" s="802"/>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803"/>
      <c r="AQ60" s="803"/>
      <c r="AR60" s="803"/>
      <c r="AS60" s="803"/>
      <c r="AT60" s="803"/>
      <c r="AU60" s="803"/>
      <c r="AV60" s="803"/>
      <c r="AW60" s="803"/>
      <c r="AX60" s="804"/>
      <c r="AY60" s="421"/>
    </row>
    <row r="61" spans="3:51" ht="18" customHeight="1">
      <c r="C61" s="484"/>
      <c r="D61" s="802"/>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3"/>
      <c r="AS61" s="803"/>
      <c r="AT61" s="803"/>
      <c r="AU61" s="803"/>
      <c r="AV61" s="803"/>
      <c r="AW61" s="803"/>
      <c r="AX61" s="804"/>
      <c r="AY61" s="421"/>
    </row>
    <row r="62" spans="3:51" ht="18" customHeight="1">
      <c r="C62" s="484"/>
      <c r="D62" s="802"/>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3"/>
      <c r="AS62" s="803"/>
      <c r="AT62" s="803"/>
      <c r="AU62" s="803"/>
      <c r="AV62" s="803"/>
      <c r="AW62" s="803"/>
      <c r="AX62" s="804"/>
      <c r="AY62" s="421"/>
    </row>
    <row r="63" spans="3:51" ht="18" customHeight="1">
      <c r="C63" s="484"/>
      <c r="D63" s="802"/>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c r="AY63" s="421"/>
    </row>
    <row r="64" spans="3:51" ht="18" customHeight="1">
      <c r="C64" s="484"/>
      <c r="D64" s="802"/>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c r="AY64" s="421"/>
    </row>
    <row r="65" spans="3:51" ht="18" customHeight="1">
      <c r="C65" s="484"/>
      <c r="D65" s="802"/>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c r="AY65" s="421"/>
    </row>
    <row r="66" spans="3:51" ht="18" customHeight="1">
      <c r="C66" s="484"/>
      <c r="D66" s="802"/>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4"/>
      <c r="AY66" s="421"/>
    </row>
    <row r="67" spans="3:51" ht="18" customHeight="1">
      <c r="C67" s="484"/>
      <c r="D67" s="802"/>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3"/>
      <c r="AN67" s="803"/>
      <c r="AO67" s="803"/>
      <c r="AP67" s="803"/>
      <c r="AQ67" s="803"/>
      <c r="AR67" s="803"/>
      <c r="AS67" s="803"/>
      <c r="AT67" s="803"/>
      <c r="AU67" s="803"/>
      <c r="AV67" s="803"/>
      <c r="AW67" s="803"/>
      <c r="AX67" s="804"/>
      <c r="AY67" s="421"/>
    </row>
    <row r="68" spans="3:51" ht="18" customHeight="1">
      <c r="C68" s="484"/>
      <c r="D68" s="802"/>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3"/>
      <c r="AS68" s="803"/>
      <c r="AT68" s="803"/>
      <c r="AU68" s="803"/>
      <c r="AV68" s="803"/>
      <c r="AW68" s="803"/>
      <c r="AX68" s="804"/>
      <c r="AY68" s="421"/>
    </row>
    <row r="69" spans="3:51" ht="18" customHeight="1">
      <c r="C69" s="519"/>
      <c r="D69" s="802"/>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3"/>
      <c r="AS69" s="803"/>
      <c r="AT69" s="803"/>
      <c r="AU69" s="803"/>
      <c r="AV69" s="803"/>
      <c r="AW69" s="803"/>
      <c r="AX69" s="804"/>
      <c r="AY69" s="421"/>
    </row>
    <row r="70" spans="3:51" ht="18" customHeight="1">
      <c r="C70" s="517"/>
      <c r="D70" s="807"/>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A1">
      <selection activeCell="F8" sqref="F8"/>
    </sheetView>
  </sheetViews>
  <sheetFormatPr defaultColWidth="12" defaultRowHeight="12.75"/>
  <cols>
    <col min="1" max="1" width="9.66015625" style="162" customWidth="1"/>
    <col min="2" max="2" width="7.66015625" style="163"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344</v>
      </c>
      <c r="C3" s="299" t="s">
        <v>296</v>
      </c>
      <c r="D3" s="29" t="s">
        <v>651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69" t="s">
        <v>207</v>
      </c>
      <c r="D5" s="869"/>
      <c r="E5" s="895"/>
      <c r="F5" s="895"/>
      <c r="G5" s="895"/>
      <c r="H5" s="895"/>
      <c r="I5" s="871"/>
      <c r="J5" s="871"/>
      <c r="K5" s="871"/>
      <c r="L5" s="871"/>
      <c r="M5" s="871"/>
      <c r="N5" s="871"/>
      <c r="O5" s="871"/>
      <c r="P5" s="871"/>
      <c r="Q5" s="871"/>
      <c r="R5" s="871"/>
      <c r="S5" s="871"/>
      <c r="T5" s="871"/>
      <c r="U5" s="871"/>
      <c r="V5" s="871"/>
      <c r="W5" s="871"/>
      <c r="X5" s="895"/>
      <c r="Y5" s="871"/>
      <c r="Z5" s="895"/>
      <c r="AA5" s="871"/>
      <c r="AB5" s="895"/>
      <c r="AC5" s="871"/>
      <c r="AD5" s="895"/>
      <c r="AE5" s="871"/>
      <c r="AF5" s="895"/>
      <c r="AG5" s="871"/>
      <c r="AH5" s="895"/>
      <c r="AI5" s="871"/>
      <c r="AJ5" s="871"/>
      <c r="AK5" s="871"/>
      <c r="AL5" s="895"/>
      <c r="AM5" s="871"/>
      <c r="AN5" s="895"/>
      <c r="AO5" s="317"/>
      <c r="AP5" s="317"/>
      <c r="AQ5" s="317"/>
      <c r="AR5" s="317"/>
      <c r="AS5" s="317"/>
      <c r="AT5" s="318"/>
      <c r="AU5" s="317"/>
      <c r="AV5" s="317"/>
      <c r="AW5" s="317"/>
      <c r="AX5" s="387"/>
      <c r="AY5" s="417"/>
      <c r="AZ5" s="319" t="s">
        <v>50</v>
      </c>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row>
    <row r="6" spans="1:98" s="389" customFormat="1" ht="14.25" customHeight="1">
      <c r="A6" s="388"/>
      <c r="B6" s="163"/>
      <c r="C6" s="381"/>
      <c r="D6" s="381"/>
      <c r="E6" s="199"/>
      <c r="F6" s="584" t="s">
        <v>490</v>
      </c>
      <c r="G6" s="200"/>
      <c r="H6" s="201"/>
      <c r="I6" s="202"/>
      <c r="J6" s="201"/>
      <c r="K6" s="202"/>
      <c r="L6" s="201"/>
      <c r="M6" s="202"/>
      <c r="N6" s="201"/>
      <c r="O6" s="202"/>
      <c r="P6" s="201"/>
      <c r="Q6" s="202"/>
      <c r="R6" s="201"/>
      <c r="S6" s="202"/>
      <c r="T6" s="201"/>
      <c r="U6" s="202"/>
      <c r="V6" s="201"/>
      <c r="W6" s="200"/>
      <c r="Z6" s="534"/>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row>
    <row r="7" spans="2:98" ht="22.5" customHeight="1">
      <c r="B7" s="163">
        <v>2</v>
      </c>
      <c r="C7" s="638" t="s">
        <v>286</v>
      </c>
      <c r="D7" s="638" t="s">
        <v>287</v>
      </c>
      <c r="E7" s="638" t="s">
        <v>290</v>
      </c>
      <c r="F7" s="638">
        <v>2000</v>
      </c>
      <c r="G7" s="638"/>
      <c r="H7" s="638">
        <v>2001</v>
      </c>
      <c r="I7" s="638"/>
      <c r="J7" s="638">
        <v>2002</v>
      </c>
      <c r="K7" s="638"/>
      <c r="L7" s="638">
        <v>2003</v>
      </c>
      <c r="M7" s="638"/>
      <c r="N7" s="638">
        <v>2004</v>
      </c>
      <c r="O7" s="638"/>
      <c r="P7" s="638">
        <v>2005</v>
      </c>
      <c r="Q7" s="638"/>
      <c r="R7" s="638">
        <v>2006</v>
      </c>
      <c r="S7" s="638"/>
      <c r="T7" s="638">
        <v>2007</v>
      </c>
      <c r="U7" s="638"/>
      <c r="V7" s="638">
        <v>2008</v>
      </c>
      <c r="W7" s="638"/>
      <c r="X7" s="638">
        <v>2009</v>
      </c>
      <c r="Y7" s="638"/>
      <c r="Z7" s="638">
        <v>2010</v>
      </c>
      <c r="AA7" s="638"/>
      <c r="AB7" s="638">
        <v>2011</v>
      </c>
      <c r="AC7" s="638"/>
      <c r="AD7" s="638">
        <v>2012</v>
      </c>
      <c r="AE7" s="638"/>
      <c r="AF7" s="638">
        <v>2013</v>
      </c>
      <c r="AG7" s="638"/>
      <c r="AH7" s="638">
        <v>2014</v>
      </c>
      <c r="AI7" s="638"/>
      <c r="AJ7" s="638">
        <v>2015</v>
      </c>
      <c r="AK7" s="638"/>
      <c r="AL7" s="638">
        <v>2016</v>
      </c>
      <c r="AM7" s="638"/>
      <c r="AN7" s="638">
        <v>2017</v>
      </c>
      <c r="AO7" s="638"/>
      <c r="AP7" s="638">
        <v>2018</v>
      </c>
      <c r="AQ7" s="638"/>
      <c r="AR7" s="638">
        <v>2019</v>
      </c>
      <c r="AS7" s="638"/>
      <c r="AT7" s="638">
        <v>2020</v>
      </c>
      <c r="AU7" s="638"/>
      <c r="AV7" s="638">
        <v>2021</v>
      </c>
      <c r="AW7" s="639"/>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6"/>
      <c r="G8" s="523"/>
      <c r="H8" s="536"/>
      <c r="I8" s="523"/>
      <c r="J8" s="536"/>
      <c r="K8" s="523"/>
      <c r="L8" s="536"/>
      <c r="M8" s="523"/>
      <c r="N8" s="536"/>
      <c r="O8" s="523"/>
      <c r="P8" s="536"/>
      <c r="Q8" s="523"/>
      <c r="R8" s="536"/>
      <c r="S8" s="523"/>
      <c r="T8" s="536"/>
      <c r="U8" s="523"/>
      <c r="V8" s="536"/>
      <c r="W8" s="523"/>
      <c r="X8" s="536"/>
      <c r="Y8" s="523"/>
      <c r="Z8" s="536">
        <v>2806.270182</v>
      </c>
      <c r="AA8" s="523"/>
      <c r="AB8" s="536">
        <v>2809.994602</v>
      </c>
      <c r="AC8" s="523"/>
      <c r="AD8" s="536">
        <v>2883.867882</v>
      </c>
      <c r="AE8" s="523"/>
      <c r="AF8" s="536">
        <v>2904.3310619999997</v>
      </c>
      <c r="AG8" s="523"/>
      <c r="AH8" s="536">
        <v>2907.521902</v>
      </c>
      <c r="AI8" s="523"/>
      <c r="AJ8" s="536">
        <v>2851.356962</v>
      </c>
      <c r="AK8" s="523"/>
      <c r="AL8" s="536">
        <v>2908.599702</v>
      </c>
      <c r="AM8" s="523"/>
      <c r="AN8" s="536">
        <v>2874.8942220000004</v>
      </c>
      <c r="AO8" s="523"/>
      <c r="AP8" s="536">
        <v>2908.011</v>
      </c>
      <c r="AQ8" s="523"/>
      <c r="AR8" s="536">
        <v>2928.603</v>
      </c>
      <c r="AS8" s="523"/>
      <c r="AT8" s="536"/>
      <c r="AU8" s="523"/>
      <c r="AV8" s="536"/>
      <c r="AW8" s="523"/>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ok</v>
      </c>
      <c r="BZ8" s="96"/>
      <c r="CA8" s="96" t="str">
        <f aca="true" t="shared" si="9" ref="CA8:CA27">IF(OR(ISBLANK(AB8),ISBLANK(AD8)),"N/A",IF(ABS((AD8-AB8)/AB8)&gt;0.25,"&gt; 25%","ok"))</f>
        <v>ok</v>
      </c>
      <c r="CB8" s="96"/>
      <c r="CC8" s="96" t="str">
        <f aca="true" t="shared" si="10" ref="CC8:CC27">IF(OR(ISBLANK(AD8),ISBLANK(AF8)),"N/A",IF(ABS((AF8-AD8)/AD8)&gt;0.25,"&gt; 25%","ok"))</f>
        <v>ok</v>
      </c>
      <c r="CD8" s="96"/>
      <c r="CE8" s="96" t="str">
        <f aca="true" t="shared" si="11" ref="CE8:CE27">IF(OR(ISBLANK(AF8),ISBLANK(AH8)),"N/A",IF(ABS((AH8-AF8)/AF8)&gt;0.25,"&gt; 25%","ok"))</f>
        <v>ok</v>
      </c>
      <c r="CF8" s="96"/>
      <c r="CG8" s="96" t="str">
        <f aca="true" t="shared" si="12" ref="CG8:CG27">IF(OR(ISBLANK(AH8),ISBLANK(AJ8)),"N/A",IF(ABS((AJ8-AH8)/AH8)&gt;0.25,"&gt; 25%","ok"))</f>
        <v>ok</v>
      </c>
      <c r="CH8" s="96"/>
      <c r="CI8" s="96" t="str">
        <f aca="true" t="shared" si="13" ref="CI8:CI27">IF(OR(ISBLANK(AJ8),ISBLANK(AL8)),"N/A",IF(ABS((AL8-AJ8)/AJ8)&gt;0.25,"&gt; 25%","ok"))</f>
        <v>ok</v>
      </c>
      <c r="CJ8" s="96"/>
      <c r="CK8" s="96" t="str">
        <f aca="true" t="shared" si="14" ref="CK8:CK27">IF(OR(ISBLANK(AL8),ISBLANK(AN8)),"N/A",IF(ABS((AN8-AL8)/AL8)&gt;0.25,"&gt; 25%","ok"))</f>
        <v>ok</v>
      </c>
      <c r="CL8" s="96"/>
      <c r="CM8" s="96" t="str">
        <f aca="true" t="shared" si="15" ref="CM8:CM27">IF(OR(ISBLANK(AN8),ISBLANK(AP8)),"N/A",IF(ABS((AP8-AN8)/AN8)&gt;0.25,"&gt; 25%","ok"))</f>
        <v>ok</v>
      </c>
      <c r="CN8" s="96"/>
      <c r="CO8" s="96" t="str">
        <f aca="true" t="shared" si="16" ref="CO8:CO27">IF(OR(ISBLANK(AP8),ISBLANK(AR8)),"N/A",IF(ABS((AR8-AP8)/AP8)&gt;0.25,"&gt; 25%","ok"))</f>
        <v>ok</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3" t="s">
        <v>639</v>
      </c>
      <c r="E9" s="226" t="s">
        <v>299</v>
      </c>
      <c r="F9" s="536"/>
      <c r="G9" s="523"/>
      <c r="H9" s="536"/>
      <c r="I9" s="523"/>
      <c r="J9" s="536"/>
      <c r="K9" s="523"/>
      <c r="L9" s="536"/>
      <c r="M9" s="523"/>
      <c r="N9" s="536"/>
      <c r="O9" s="523"/>
      <c r="P9" s="536"/>
      <c r="Q9" s="523"/>
      <c r="R9" s="536"/>
      <c r="S9" s="523"/>
      <c r="T9" s="536"/>
      <c r="U9" s="523"/>
      <c r="V9" s="536"/>
      <c r="W9" s="523"/>
      <c r="X9" s="536"/>
      <c r="Y9" s="523"/>
      <c r="Z9" s="536">
        <v>0</v>
      </c>
      <c r="AA9" s="523"/>
      <c r="AB9" s="536">
        <v>0</v>
      </c>
      <c r="AC9" s="523"/>
      <c r="AD9" s="536">
        <v>0</v>
      </c>
      <c r="AE9" s="523"/>
      <c r="AF9" s="536">
        <v>0</v>
      </c>
      <c r="AG9" s="523"/>
      <c r="AH9" s="536">
        <v>0.10000000149011612</v>
      </c>
      <c r="AI9" s="523"/>
      <c r="AJ9" s="536">
        <v>0.10000000149011612</v>
      </c>
      <c r="AK9" s="523"/>
      <c r="AL9" s="536"/>
      <c r="AM9" s="523"/>
      <c r="AN9" s="536"/>
      <c r="AO9" s="523"/>
      <c r="AP9" s="536"/>
      <c r="AQ9" s="523"/>
      <c r="AR9" s="536"/>
      <c r="AS9" s="523"/>
      <c r="AT9" s="536"/>
      <c r="AU9" s="523"/>
      <c r="AV9" s="536"/>
      <c r="AW9" s="523"/>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e">
        <f t="shared" si="8"/>
        <v>#DIV/0!</v>
      </c>
      <c r="BZ9" s="112"/>
      <c r="CA9" s="96" t="e">
        <f t="shared" si="9"/>
        <v>#DIV/0!</v>
      </c>
      <c r="CB9" s="81"/>
      <c r="CC9" s="96" t="e">
        <f t="shared" si="10"/>
        <v>#DIV/0!</v>
      </c>
      <c r="CD9" s="81"/>
      <c r="CE9" s="96" t="e">
        <f t="shared" si="11"/>
        <v>#DIV/0!</v>
      </c>
      <c r="CF9" s="81"/>
      <c r="CG9" s="96" t="str">
        <f t="shared" si="12"/>
        <v>ok</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3" t="s">
        <v>590</v>
      </c>
      <c r="E10" s="226" t="s">
        <v>299</v>
      </c>
      <c r="F10" s="536"/>
      <c r="G10" s="523"/>
      <c r="H10" s="536"/>
      <c r="I10" s="523"/>
      <c r="J10" s="536"/>
      <c r="K10" s="523"/>
      <c r="L10" s="536"/>
      <c r="M10" s="523"/>
      <c r="N10" s="536"/>
      <c r="O10" s="523"/>
      <c r="P10" s="536"/>
      <c r="Q10" s="523"/>
      <c r="R10" s="536"/>
      <c r="S10" s="523"/>
      <c r="T10" s="536"/>
      <c r="U10" s="523"/>
      <c r="V10" s="536"/>
      <c r="W10" s="523"/>
      <c r="X10" s="536"/>
      <c r="Y10" s="523"/>
      <c r="Z10" s="536"/>
      <c r="AA10" s="523"/>
      <c r="AB10" s="536"/>
      <c r="AC10" s="523"/>
      <c r="AD10" s="536"/>
      <c r="AE10" s="523"/>
      <c r="AF10" s="536"/>
      <c r="AG10" s="523"/>
      <c r="AH10" s="536"/>
      <c r="AI10" s="523"/>
      <c r="AJ10" s="536"/>
      <c r="AK10" s="523"/>
      <c r="AL10" s="536"/>
      <c r="AM10" s="523"/>
      <c r="AN10" s="536"/>
      <c r="AO10" s="523"/>
      <c r="AP10" s="536"/>
      <c r="AQ10" s="523"/>
      <c r="AR10" s="536"/>
      <c r="AS10" s="523"/>
      <c r="AT10" s="536"/>
      <c r="AU10" s="523"/>
      <c r="AV10" s="536"/>
      <c r="AW10" s="523"/>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3" t="s">
        <v>384</v>
      </c>
      <c r="E11" s="226" t="s">
        <v>299</v>
      </c>
      <c r="F11" s="536"/>
      <c r="G11" s="523"/>
      <c r="H11" s="536"/>
      <c r="I11" s="523"/>
      <c r="J11" s="536"/>
      <c r="K11" s="523"/>
      <c r="L11" s="536"/>
      <c r="M11" s="523"/>
      <c r="N11" s="536"/>
      <c r="O11" s="523"/>
      <c r="P11" s="536"/>
      <c r="Q11" s="523"/>
      <c r="R11" s="536"/>
      <c r="S11" s="523"/>
      <c r="T11" s="536"/>
      <c r="U11" s="523"/>
      <c r="V11" s="536"/>
      <c r="W11" s="523"/>
      <c r="X11" s="536"/>
      <c r="Y11" s="523"/>
      <c r="Z11" s="536">
        <v>19.1223258972168</v>
      </c>
      <c r="AA11" s="523" t="s">
        <v>647</v>
      </c>
      <c r="AB11" s="536">
        <v>26.5233249664307</v>
      </c>
      <c r="AC11" s="523" t="s">
        <v>647</v>
      </c>
      <c r="AD11" s="536">
        <v>46.3643264770508</v>
      </c>
      <c r="AE11" s="523" t="s">
        <v>647</v>
      </c>
      <c r="AF11" s="536">
        <v>117.402923583984</v>
      </c>
      <c r="AG11" s="523" t="s">
        <v>647</v>
      </c>
      <c r="AH11" s="536">
        <v>223.518829345703</v>
      </c>
      <c r="AI11" s="523" t="s">
        <v>647</v>
      </c>
      <c r="AJ11" s="536">
        <v>226.383224487305</v>
      </c>
      <c r="AK11" s="523" t="s">
        <v>647</v>
      </c>
      <c r="AL11" s="536"/>
      <c r="AM11" s="523"/>
      <c r="AN11" s="536"/>
      <c r="AO11" s="523"/>
      <c r="AP11" s="536"/>
      <c r="AQ11" s="523"/>
      <c r="AR11" s="536"/>
      <c r="AS11" s="523"/>
      <c r="AT11" s="536"/>
      <c r="AU11" s="523"/>
      <c r="AV11" s="536"/>
      <c r="AW11" s="523"/>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&gt; 25%</v>
      </c>
      <c r="BZ11" s="112"/>
      <c r="CA11" s="96" t="str">
        <f t="shared" si="9"/>
        <v>&gt; 25%</v>
      </c>
      <c r="CB11" s="81"/>
      <c r="CC11" s="96" t="str">
        <f t="shared" si="10"/>
        <v>&gt; 25%</v>
      </c>
      <c r="CD11" s="81"/>
      <c r="CE11" s="96" t="str">
        <f t="shared" si="11"/>
        <v>&gt; 25%</v>
      </c>
      <c r="CF11" s="81"/>
      <c r="CG11" s="96" t="str">
        <f t="shared" si="12"/>
        <v>ok</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6"/>
      <c r="G12" s="523"/>
      <c r="H12" s="536"/>
      <c r="I12" s="523"/>
      <c r="J12" s="536"/>
      <c r="K12" s="523"/>
      <c r="L12" s="536"/>
      <c r="M12" s="523"/>
      <c r="N12" s="536"/>
      <c r="O12" s="523"/>
      <c r="P12" s="536"/>
      <c r="Q12" s="523"/>
      <c r="R12" s="536"/>
      <c r="S12" s="523"/>
      <c r="T12" s="536"/>
      <c r="U12" s="523"/>
      <c r="V12" s="536"/>
      <c r="W12" s="523"/>
      <c r="X12" s="536"/>
      <c r="Y12" s="523"/>
      <c r="Z12" s="536"/>
      <c r="AA12" s="523"/>
      <c r="AB12" s="536"/>
      <c r="AC12" s="523"/>
      <c r="AD12" s="536"/>
      <c r="AE12" s="523"/>
      <c r="AF12" s="536"/>
      <c r="AG12" s="523"/>
      <c r="AH12" s="536"/>
      <c r="AI12" s="523"/>
      <c r="AJ12" s="536"/>
      <c r="AK12" s="523"/>
      <c r="AL12" s="536"/>
      <c r="AM12" s="523"/>
      <c r="AN12" s="536"/>
      <c r="AO12" s="523"/>
      <c r="AP12" s="536"/>
      <c r="AQ12" s="523"/>
      <c r="AR12" s="536"/>
      <c r="AS12" s="523"/>
      <c r="AT12" s="536"/>
      <c r="AU12" s="523"/>
      <c r="AV12" s="536"/>
      <c r="AW12" s="523"/>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1" t="s">
        <v>593</v>
      </c>
      <c r="E13" s="226" t="s">
        <v>299</v>
      </c>
      <c r="F13" s="536"/>
      <c r="G13" s="523"/>
      <c r="H13" s="536"/>
      <c r="I13" s="523"/>
      <c r="J13" s="536"/>
      <c r="K13" s="523"/>
      <c r="L13" s="536"/>
      <c r="M13" s="523"/>
      <c r="N13" s="536"/>
      <c r="O13" s="523"/>
      <c r="P13" s="536"/>
      <c r="Q13" s="523"/>
      <c r="R13" s="536"/>
      <c r="S13" s="523"/>
      <c r="T13" s="536"/>
      <c r="U13" s="523"/>
      <c r="V13" s="536"/>
      <c r="W13" s="523"/>
      <c r="X13" s="536"/>
      <c r="Y13" s="523"/>
      <c r="Z13" s="536">
        <v>707.544006347656</v>
      </c>
      <c r="AA13" s="523" t="s">
        <v>646</v>
      </c>
      <c r="AB13" s="536">
        <v>712.505981445312</v>
      </c>
      <c r="AC13" s="523" t="s">
        <v>646</v>
      </c>
      <c r="AD13" s="536">
        <v>674.557983398438</v>
      </c>
      <c r="AE13" s="523" t="s">
        <v>646</v>
      </c>
      <c r="AF13" s="536">
        <v>708.362976074219</v>
      </c>
      <c r="AG13" s="523" t="s">
        <v>646</v>
      </c>
      <c r="AH13" s="536">
        <v>708.367004394531</v>
      </c>
      <c r="AI13" s="523" t="s">
        <v>646</v>
      </c>
      <c r="AJ13" s="536">
        <v>708.370971679688</v>
      </c>
      <c r="AK13" s="523" t="s">
        <v>646</v>
      </c>
      <c r="AL13" s="536"/>
      <c r="AM13" s="523"/>
      <c r="AN13" s="536"/>
      <c r="AO13" s="523"/>
      <c r="AP13" s="536"/>
      <c r="AQ13" s="523"/>
      <c r="AR13" s="536"/>
      <c r="AS13" s="523"/>
      <c r="AT13" s="536"/>
      <c r="AU13" s="523"/>
      <c r="AV13" s="536"/>
      <c r="AW13" s="523"/>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ok</v>
      </c>
      <c r="BZ13" s="112"/>
      <c r="CA13" s="96" t="str">
        <f t="shared" si="9"/>
        <v>ok</v>
      </c>
      <c r="CB13" s="81"/>
      <c r="CC13" s="96" t="str">
        <f t="shared" si="10"/>
        <v>ok</v>
      </c>
      <c r="CD13" s="81"/>
      <c r="CE13" s="96" t="str">
        <f t="shared" si="11"/>
        <v>ok</v>
      </c>
      <c r="CF13" s="81"/>
      <c r="CG13" s="96" t="str">
        <f t="shared" si="12"/>
        <v>ok</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6"/>
      <c r="G14" s="523"/>
      <c r="H14" s="536"/>
      <c r="I14" s="523"/>
      <c r="J14" s="536"/>
      <c r="K14" s="523"/>
      <c r="L14" s="536"/>
      <c r="M14" s="523"/>
      <c r="N14" s="536"/>
      <c r="O14" s="523"/>
      <c r="P14" s="536"/>
      <c r="Q14" s="523"/>
      <c r="R14" s="536"/>
      <c r="S14" s="523"/>
      <c r="T14" s="536"/>
      <c r="U14" s="523"/>
      <c r="V14" s="536"/>
      <c r="W14" s="523"/>
      <c r="X14" s="536"/>
      <c r="Y14" s="523"/>
      <c r="Z14" s="536"/>
      <c r="AA14" s="523"/>
      <c r="AB14" s="536"/>
      <c r="AC14" s="523"/>
      <c r="AD14" s="536"/>
      <c r="AE14" s="523"/>
      <c r="AF14" s="536"/>
      <c r="AG14" s="523"/>
      <c r="AH14" s="536"/>
      <c r="AI14" s="523"/>
      <c r="AJ14" s="536"/>
      <c r="AK14" s="523"/>
      <c r="AL14" s="536"/>
      <c r="AM14" s="523"/>
      <c r="AN14" s="536"/>
      <c r="AO14" s="523"/>
      <c r="AP14" s="536"/>
      <c r="AQ14" s="523"/>
      <c r="AR14" s="536"/>
      <c r="AS14" s="523"/>
      <c r="AT14" s="536"/>
      <c r="AU14" s="523"/>
      <c r="AV14" s="536"/>
      <c r="AW14" s="523"/>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6"/>
      <c r="G15" s="523"/>
      <c r="H15" s="536"/>
      <c r="I15" s="523"/>
      <c r="J15" s="536"/>
      <c r="K15" s="523"/>
      <c r="L15" s="536"/>
      <c r="M15" s="523"/>
      <c r="N15" s="536"/>
      <c r="O15" s="523"/>
      <c r="P15" s="536"/>
      <c r="Q15" s="523"/>
      <c r="R15" s="536"/>
      <c r="S15" s="523"/>
      <c r="T15" s="536"/>
      <c r="U15" s="523"/>
      <c r="V15" s="536"/>
      <c r="W15" s="523"/>
      <c r="X15" s="536"/>
      <c r="Y15" s="523"/>
      <c r="Z15" s="536"/>
      <c r="AA15" s="523"/>
      <c r="AB15" s="536"/>
      <c r="AC15" s="523"/>
      <c r="AD15" s="536"/>
      <c r="AE15" s="523"/>
      <c r="AF15" s="536"/>
      <c r="AG15" s="523"/>
      <c r="AH15" s="536"/>
      <c r="AI15" s="523"/>
      <c r="AJ15" s="536"/>
      <c r="AK15" s="523"/>
      <c r="AL15" s="536"/>
      <c r="AM15" s="523"/>
      <c r="AN15" s="536"/>
      <c r="AO15" s="523"/>
      <c r="AP15" s="536"/>
      <c r="AQ15" s="523"/>
      <c r="AR15" s="536"/>
      <c r="AS15" s="523"/>
      <c r="AT15" s="536"/>
      <c r="AU15" s="523"/>
      <c r="AV15" s="536"/>
      <c r="AW15" s="523"/>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6"/>
      <c r="G16" s="523"/>
      <c r="H16" s="536"/>
      <c r="I16" s="523"/>
      <c r="J16" s="536"/>
      <c r="K16" s="523"/>
      <c r="L16" s="536"/>
      <c r="M16" s="523"/>
      <c r="N16" s="536"/>
      <c r="O16" s="523"/>
      <c r="P16" s="536"/>
      <c r="Q16" s="523"/>
      <c r="R16" s="536"/>
      <c r="S16" s="523"/>
      <c r="T16" s="536"/>
      <c r="U16" s="523"/>
      <c r="V16" s="536"/>
      <c r="W16" s="523"/>
      <c r="X16" s="536"/>
      <c r="Y16" s="523"/>
      <c r="Z16" s="536"/>
      <c r="AA16" s="523"/>
      <c r="AB16" s="536"/>
      <c r="AC16" s="523"/>
      <c r="AD16" s="536"/>
      <c r="AE16" s="523"/>
      <c r="AF16" s="536"/>
      <c r="AG16" s="523"/>
      <c r="AH16" s="536"/>
      <c r="AI16" s="523"/>
      <c r="AJ16" s="536"/>
      <c r="AK16" s="523"/>
      <c r="AL16" s="536"/>
      <c r="AM16" s="523"/>
      <c r="AN16" s="536"/>
      <c r="AO16" s="523"/>
      <c r="AP16" s="536"/>
      <c r="AQ16" s="523"/>
      <c r="AR16" s="536"/>
      <c r="AS16" s="523"/>
      <c r="AT16" s="536"/>
      <c r="AU16" s="523"/>
      <c r="AV16" s="536"/>
      <c r="AW16" s="523"/>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6">
        <v>2350.68481445312</v>
      </c>
      <c r="G17" s="523"/>
      <c r="H17" s="536">
        <v>2424.65747070312</v>
      </c>
      <c r="I17" s="523"/>
      <c r="J17" s="536">
        <v>2495.89038085938</v>
      </c>
      <c r="K17" s="523"/>
      <c r="L17" s="536"/>
      <c r="M17" s="523"/>
      <c r="N17" s="536"/>
      <c r="O17" s="523"/>
      <c r="P17" s="536"/>
      <c r="Q17" s="523"/>
      <c r="R17" s="536"/>
      <c r="S17" s="523"/>
      <c r="T17" s="536"/>
      <c r="U17" s="523"/>
      <c r="V17" s="536">
        <v>2693</v>
      </c>
      <c r="W17" s="523" t="s">
        <v>649</v>
      </c>
      <c r="X17" s="536">
        <v>2675</v>
      </c>
      <c r="Y17" s="523" t="s">
        <v>649</v>
      </c>
      <c r="Z17" s="536">
        <v>2674</v>
      </c>
      <c r="AA17" s="523" t="s">
        <v>649</v>
      </c>
      <c r="AB17" s="536">
        <v>2681</v>
      </c>
      <c r="AC17" s="523" t="s">
        <v>649</v>
      </c>
      <c r="AD17" s="536">
        <v>2755</v>
      </c>
      <c r="AE17" s="523" t="s">
        <v>649</v>
      </c>
      <c r="AF17" s="536">
        <v>2778</v>
      </c>
      <c r="AG17" s="523" t="s">
        <v>649</v>
      </c>
      <c r="AH17" s="536">
        <v>2782</v>
      </c>
      <c r="AI17" s="523" t="s">
        <v>649</v>
      </c>
      <c r="AJ17" s="536">
        <v>2731</v>
      </c>
      <c r="AK17" s="523" t="s">
        <v>649</v>
      </c>
      <c r="AL17" s="536">
        <v>2791</v>
      </c>
      <c r="AM17" s="523" t="s">
        <v>649</v>
      </c>
      <c r="AN17" s="536">
        <v>2763</v>
      </c>
      <c r="AO17" s="523" t="s">
        <v>649</v>
      </c>
      <c r="AP17" s="536">
        <v>2801</v>
      </c>
      <c r="AQ17" s="523" t="s">
        <v>649</v>
      </c>
      <c r="AR17" s="536">
        <v>2824</v>
      </c>
      <c r="AS17" s="523" t="s">
        <v>649</v>
      </c>
      <c r="AT17" s="536"/>
      <c r="AU17" s="523"/>
      <c r="AV17" s="536"/>
      <c r="AW17" s="523"/>
      <c r="AZ17" s="81">
        <v>10</v>
      </c>
      <c r="BA17" s="220" t="s">
        <v>121</v>
      </c>
      <c r="BB17" s="81" t="s">
        <v>573</v>
      </c>
      <c r="BC17" s="114" t="s">
        <v>82</v>
      </c>
      <c r="BD17" s="113"/>
      <c r="BE17" s="96" t="str">
        <f t="shared" si="19"/>
        <v>ok</v>
      </c>
      <c r="BF17" s="96"/>
      <c r="BG17" s="96" t="str">
        <f t="shared" si="20"/>
        <v>ok</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ok</v>
      </c>
      <c r="BV17" s="81"/>
      <c r="BW17" s="96" t="str">
        <f t="shared" si="7"/>
        <v>ok</v>
      </c>
      <c r="BX17" s="113"/>
      <c r="BY17" s="96" t="str">
        <f t="shared" si="8"/>
        <v>ok</v>
      </c>
      <c r="BZ17" s="81"/>
      <c r="CA17" s="96" t="str">
        <f t="shared" si="9"/>
        <v>ok</v>
      </c>
      <c r="CB17" s="81"/>
      <c r="CC17" s="96" t="str">
        <f t="shared" si="10"/>
        <v>ok</v>
      </c>
      <c r="CD17" s="112"/>
      <c r="CE17" s="96" t="str">
        <f t="shared" si="11"/>
        <v>ok</v>
      </c>
      <c r="CF17" s="112"/>
      <c r="CG17" s="96" t="str">
        <f t="shared" si="12"/>
        <v>ok</v>
      </c>
      <c r="CH17" s="81"/>
      <c r="CI17" s="96" t="str">
        <f t="shared" si="13"/>
        <v>ok</v>
      </c>
      <c r="CJ17" s="113"/>
      <c r="CK17" s="96" t="str">
        <f t="shared" si="14"/>
        <v>ok</v>
      </c>
      <c r="CL17" s="81"/>
      <c r="CM17" s="96" t="str">
        <f t="shared" si="15"/>
        <v>ok</v>
      </c>
      <c r="CN17" s="113"/>
      <c r="CO17" s="96" t="str">
        <f t="shared" si="16"/>
        <v>ok</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6"/>
      <c r="G18" s="523"/>
      <c r="H18" s="536"/>
      <c r="I18" s="523"/>
      <c r="J18" s="536"/>
      <c r="K18" s="523"/>
      <c r="L18" s="536"/>
      <c r="M18" s="523"/>
      <c r="N18" s="536">
        <v>1379</v>
      </c>
      <c r="O18" s="523"/>
      <c r="P18" s="536">
        <v>1431</v>
      </c>
      <c r="Q18" s="523"/>
      <c r="R18" s="536">
        <v>1414</v>
      </c>
      <c r="S18" s="523"/>
      <c r="T18" s="536">
        <v>1412</v>
      </c>
      <c r="U18" s="523"/>
      <c r="V18" s="536">
        <v>1449.69995117188</v>
      </c>
      <c r="W18" s="523" t="s">
        <v>650</v>
      </c>
      <c r="X18" s="536">
        <v>1442.90002441406</v>
      </c>
      <c r="Y18" s="523" t="s">
        <v>650</v>
      </c>
      <c r="Z18" s="536">
        <v>1431.59997558594</v>
      </c>
      <c r="AA18" s="523" t="s">
        <v>650</v>
      </c>
      <c r="AB18" s="536">
        <v>1434.40002441406</v>
      </c>
      <c r="AC18" s="523" t="s">
        <v>650</v>
      </c>
      <c r="AD18" s="536">
        <v>1460.80004882812</v>
      </c>
      <c r="AE18" s="523" t="s">
        <v>650</v>
      </c>
      <c r="AF18" s="536">
        <v>1478.69995117188</v>
      </c>
      <c r="AG18" s="523" t="s">
        <v>650</v>
      </c>
      <c r="AH18" s="536">
        <v>1636</v>
      </c>
      <c r="AI18" s="523" t="s">
        <v>657</v>
      </c>
      <c r="AJ18" s="536">
        <v>1764</v>
      </c>
      <c r="AK18" s="523" t="s">
        <v>658</v>
      </c>
      <c r="AL18" s="536">
        <v>2166</v>
      </c>
      <c r="AM18" s="523" t="s">
        <v>658</v>
      </c>
      <c r="AN18" s="536">
        <v>2133</v>
      </c>
      <c r="AO18" s="523" t="s">
        <v>658</v>
      </c>
      <c r="AP18" s="536">
        <v>2142</v>
      </c>
      <c r="AQ18" s="523" t="s">
        <v>658</v>
      </c>
      <c r="AR18" s="536">
        <v>2156</v>
      </c>
      <c r="AS18" s="523" t="s">
        <v>658</v>
      </c>
      <c r="AT18" s="536"/>
      <c r="AU18" s="523"/>
      <c r="AV18" s="536"/>
      <c r="AW18" s="523"/>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ok</v>
      </c>
      <c r="BN18" s="112"/>
      <c r="BO18" s="96" t="str">
        <f t="shared" si="3"/>
        <v>ok</v>
      </c>
      <c r="BP18" s="81"/>
      <c r="BQ18" s="96" t="str">
        <f t="shared" si="4"/>
        <v>ok</v>
      </c>
      <c r="BR18" s="113"/>
      <c r="BS18" s="96" t="str">
        <f t="shared" si="5"/>
        <v>ok</v>
      </c>
      <c r="BT18" s="112"/>
      <c r="BU18" s="96" t="str">
        <f t="shared" si="6"/>
        <v>ok</v>
      </c>
      <c r="BV18" s="81"/>
      <c r="BW18" s="96" t="str">
        <f t="shared" si="7"/>
        <v>ok</v>
      </c>
      <c r="BX18" s="113"/>
      <c r="BY18" s="96" t="str">
        <f t="shared" si="8"/>
        <v>ok</v>
      </c>
      <c r="BZ18" s="81"/>
      <c r="CA18" s="96" t="str">
        <f t="shared" si="9"/>
        <v>ok</v>
      </c>
      <c r="CB18" s="81"/>
      <c r="CC18" s="96" t="str">
        <f t="shared" si="10"/>
        <v>ok</v>
      </c>
      <c r="CD18" s="112"/>
      <c r="CE18" s="96" t="str">
        <f t="shared" si="11"/>
        <v>ok</v>
      </c>
      <c r="CF18" s="112"/>
      <c r="CG18" s="96" t="str">
        <f t="shared" si="12"/>
        <v>ok</v>
      </c>
      <c r="CH18" s="81"/>
      <c r="CI18" s="96" t="str">
        <f t="shared" si="13"/>
        <v>ok</v>
      </c>
      <c r="CJ18" s="113"/>
      <c r="CK18" s="96" t="str">
        <f t="shared" si="14"/>
        <v>ok</v>
      </c>
      <c r="CL18" s="81"/>
      <c r="CM18" s="96" t="str">
        <f t="shared" si="15"/>
        <v>ok</v>
      </c>
      <c r="CN18" s="113"/>
      <c r="CO18" s="96" t="str">
        <f t="shared" si="16"/>
        <v>ok</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6"/>
      <c r="G19" s="523"/>
      <c r="H19" s="536"/>
      <c r="I19" s="523"/>
      <c r="J19" s="536"/>
      <c r="K19" s="523"/>
      <c r="L19" s="536"/>
      <c r="M19" s="523"/>
      <c r="N19" s="536">
        <v>436</v>
      </c>
      <c r="O19" s="523"/>
      <c r="P19" s="536">
        <v>461</v>
      </c>
      <c r="Q19" s="523"/>
      <c r="R19" s="536">
        <v>465</v>
      </c>
      <c r="S19" s="523"/>
      <c r="T19" s="536">
        <v>452</v>
      </c>
      <c r="U19" s="523"/>
      <c r="V19" s="536">
        <v>464</v>
      </c>
      <c r="W19" s="523"/>
      <c r="X19" s="536">
        <v>450</v>
      </c>
      <c r="Y19" s="523"/>
      <c r="Z19" s="536">
        <v>445</v>
      </c>
      <c r="AA19" s="523"/>
      <c r="AB19" s="536">
        <v>454</v>
      </c>
      <c r="AC19" s="523"/>
      <c r="AD19" s="536">
        <v>452</v>
      </c>
      <c r="AE19" s="523"/>
      <c r="AF19" s="536">
        <v>480</v>
      </c>
      <c r="AG19" s="523"/>
      <c r="AH19" s="536">
        <v>468</v>
      </c>
      <c r="AI19" s="523"/>
      <c r="AJ19" s="536">
        <v>484</v>
      </c>
      <c r="AK19" s="523"/>
      <c r="AL19" s="536">
        <v>496</v>
      </c>
      <c r="AM19" s="523"/>
      <c r="AN19" s="536">
        <v>506</v>
      </c>
      <c r="AO19" s="523"/>
      <c r="AP19" s="536">
        <v>533</v>
      </c>
      <c r="AQ19" s="523"/>
      <c r="AR19" s="536">
        <v>533</v>
      </c>
      <c r="AS19" s="523"/>
      <c r="AT19" s="536"/>
      <c r="AU19" s="523"/>
      <c r="AV19" s="536"/>
      <c r="AW19" s="523"/>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ok</v>
      </c>
      <c r="BN19" s="112"/>
      <c r="BO19" s="96" t="str">
        <f t="shared" si="3"/>
        <v>ok</v>
      </c>
      <c r="BP19" s="81"/>
      <c r="BQ19" s="96" t="str">
        <f t="shared" si="4"/>
        <v>ok</v>
      </c>
      <c r="BR19" s="113"/>
      <c r="BS19" s="96" t="str">
        <f t="shared" si="5"/>
        <v>ok</v>
      </c>
      <c r="BT19" s="112"/>
      <c r="BU19" s="96" t="str">
        <f t="shared" si="6"/>
        <v>ok</v>
      </c>
      <c r="BV19" s="81"/>
      <c r="BW19" s="96" t="str">
        <f t="shared" si="7"/>
        <v>ok</v>
      </c>
      <c r="BX19" s="113"/>
      <c r="BY19" s="96" t="str">
        <f t="shared" si="8"/>
        <v>ok</v>
      </c>
      <c r="BZ19" s="81"/>
      <c r="CA19" s="96" t="str">
        <f t="shared" si="9"/>
        <v>ok</v>
      </c>
      <c r="CB19" s="81"/>
      <c r="CC19" s="96" t="str">
        <f t="shared" si="10"/>
        <v>ok</v>
      </c>
      <c r="CD19" s="112"/>
      <c r="CE19" s="96" t="str">
        <f t="shared" si="11"/>
        <v>ok</v>
      </c>
      <c r="CF19" s="112"/>
      <c r="CG19" s="96" t="str">
        <f t="shared" si="12"/>
        <v>ok</v>
      </c>
      <c r="CH19" s="81"/>
      <c r="CI19" s="96" t="str">
        <f t="shared" si="13"/>
        <v>ok</v>
      </c>
      <c r="CJ19" s="113"/>
      <c r="CK19" s="96" t="str">
        <f t="shared" si="14"/>
        <v>ok</v>
      </c>
      <c r="CL19" s="81"/>
      <c r="CM19" s="96" t="str">
        <f t="shared" si="15"/>
        <v>ok</v>
      </c>
      <c r="CN19" s="113"/>
      <c r="CO19" s="96" t="str">
        <f t="shared" si="16"/>
        <v>ok</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6"/>
      <c r="G20" s="523"/>
      <c r="H20" s="536"/>
      <c r="I20" s="523"/>
      <c r="J20" s="536"/>
      <c r="K20" s="523"/>
      <c r="L20" s="536"/>
      <c r="M20" s="523"/>
      <c r="N20" s="536">
        <v>0</v>
      </c>
      <c r="O20" s="523"/>
      <c r="P20" s="536">
        <v>0</v>
      </c>
      <c r="Q20" s="523"/>
      <c r="R20" s="536">
        <v>0</v>
      </c>
      <c r="S20" s="523"/>
      <c r="T20" s="536">
        <v>0.36</v>
      </c>
      <c r="U20" s="523"/>
      <c r="V20" s="536">
        <v>0.33</v>
      </c>
      <c r="W20" s="523"/>
      <c r="X20" s="536">
        <v>0.25</v>
      </c>
      <c r="Y20" s="523"/>
      <c r="Z20" s="536">
        <v>0.36</v>
      </c>
      <c r="AA20" s="523"/>
      <c r="AB20" s="536">
        <v>0.38</v>
      </c>
      <c r="AC20" s="523"/>
      <c r="AD20" s="536">
        <v>0.44</v>
      </c>
      <c r="AE20" s="523"/>
      <c r="AF20" s="536">
        <v>0.44</v>
      </c>
      <c r="AG20" s="523"/>
      <c r="AH20" s="536">
        <v>0.38</v>
      </c>
      <c r="AI20" s="523"/>
      <c r="AJ20" s="536">
        <v>0.38</v>
      </c>
      <c r="AK20" s="523"/>
      <c r="AL20" s="536">
        <v>0.48</v>
      </c>
      <c r="AM20" s="523"/>
      <c r="AN20" s="536">
        <v>0.45</v>
      </c>
      <c r="AO20" s="523"/>
      <c r="AP20" s="536">
        <v>0.45</v>
      </c>
      <c r="AQ20" s="523"/>
      <c r="AR20" s="536">
        <v>0.48</v>
      </c>
      <c r="AS20" s="523"/>
      <c r="AT20" s="536"/>
      <c r="AU20" s="523"/>
      <c r="AV20" s="536"/>
      <c r="AW20" s="523"/>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e">
        <f t="shared" si="2"/>
        <v>#DIV/0!</v>
      </c>
      <c r="BN20" s="112"/>
      <c r="BO20" s="96" t="e">
        <f t="shared" si="3"/>
        <v>#DIV/0!</v>
      </c>
      <c r="BP20" s="81"/>
      <c r="BQ20" s="96" t="e">
        <f t="shared" si="4"/>
        <v>#DIV/0!</v>
      </c>
      <c r="BR20" s="113"/>
      <c r="BS20" s="96" t="str">
        <f t="shared" si="5"/>
        <v>ok</v>
      </c>
      <c r="BT20" s="112"/>
      <c r="BU20" s="96" t="str">
        <f t="shared" si="6"/>
        <v>ok</v>
      </c>
      <c r="BV20" s="81"/>
      <c r="BW20" s="96" t="str">
        <f t="shared" si="7"/>
        <v>&gt; 25%</v>
      </c>
      <c r="BX20" s="113"/>
      <c r="BY20" s="96" t="str">
        <f t="shared" si="8"/>
        <v>ok</v>
      </c>
      <c r="BZ20" s="81"/>
      <c r="CA20" s="96" t="str">
        <f t="shared" si="9"/>
        <v>ok</v>
      </c>
      <c r="CB20" s="81"/>
      <c r="CC20" s="96" t="str">
        <f t="shared" si="10"/>
        <v>ok</v>
      </c>
      <c r="CD20" s="112"/>
      <c r="CE20" s="96" t="str">
        <f t="shared" si="11"/>
        <v>ok</v>
      </c>
      <c r="CF20" s="112"/>
      <c r="CG20" s="96" t="str">
        <f t="shared" si="12"/>
        <v>ok</v>
      </c>
      <c r="CH20" s="81"/>
      <c r="CI20" s="96" t="str">
        <f t="shared" si="13"/>
        <v>&gt; 25%</v>
      </c>
      <c r="CJ20" s="113"/>
      <c r="CK20" s="96" t="str">
        <f t="shared" si="14"/>
        <v>ok</v>
      </c>
      <c r="CL20" s="81"/>
      <c r="CM20" s="96" t="str">
        <f t="shared" si="15"/>
        <v>ok</v>
      </c>
      <c r="CN20" s="113"/>
      <c r="CO20" s="96" t="str">
        <f t="shared" si="16"/>
        <v>ok</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6"/>
      <c r="G21" s="523"/>
      <c r="H21" s="536"/>
      <c r="I21" s="523"/>
      <c r="J21" s="536"/>
      <c r="K21" s="523"/>
      <c r="L21" s="536"/>
      <c r="M21" s="523"/>
      <c r="N21" s="536"/>
      <c r="O21" s="523"/>
      <c r="P21" s="536"/>
      <c r="Q21" s="523"/>
      <c r="R21" s="536"/>
      <c r="S21" s="523"/>
      <c r="T21" s="536"/>
      <c r="U21" s="523"/>
      <c r="V21" s="536"/>
      <c r="W21" s="523"/>
      <c r="X21" s="536"/>
      <c r="Y21" s="523"/>
      <c r="Z21" s="536">
        <v>33.0675455</v>
      </c>
      <c r="AA21" s="523" t="s">
        <v>659</v>
      </c>
      <c r="AB21" s="536">
        <v>32.2486505</v>
      </c>
      <c r="AC21" s="523" t="s">
        <v>659</v>
      </c>
      <c r="AD21" s="536">
        <v>32.2169705</v>
      </c>
      <c r="AE21" s="523" t="s">
        <v>659</v>
      </c>
      <c r="AF21" s="536">
        <v>31.582765499999997</v>
      </c>
      <c r="AG21" s="523" t="s">
        <v>659</v>
      </c>
      <c r="AH21" s="536">
        <v>31.3804755</v>
      </c>
      <c r="AI21" s="523" t="s">
        <v>659</v>
      </c>
      <c r="AJ21" s="536">
        <v>30.0892405</v>
      </c>
      <c r="AK21" s="523" t="s">
        <v>659</v>
      </c>
      <c r="AL21" s="536">
        <v>29.3999255</v>
      </c>
      <c r="AM21" s="523" t="s">
        <v>659</v>
      </c>
      <c r="AN21" s="536">
        <v>27.9735555</v>
      </c>
      <c r="AO21" s="523" t="s">
        <v>659</v>
      </c>
      <c r="AP21" s="536">
        <v>26.8</v>
      </c>
      <c r="AQ21" s="523" t="s">
        <v>659</v>
      </c>
      <c r="AR21" s="536">
        <v>26.2</v>
      </c>
      <c r="AS21" s="523" t="s">
        <v>659</v>
      </c>
      <c r="AT21" s="536"/>
      <c r="AU21" s="523"/>
      <c r="AV21" s="536"/>
      <c r="AW21" s="523"/>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ok</v>
      </c>
      <c r="BZ21" s="81"/>
      <c r="CA21" s="96" t="str">
        <f t="shared" si="9"/>
        <v>ok</v>
      </c>
      <c r="CB21" s="81"/>
      <c r="CC21" s="96" t="str">
        <f t="shared" si="10"/>
        <v>ok</v>
      </c>
      <c r="CD21" s="112"/>
      <c r="CE21" s="96" t="str">
        <f t="shared" si="11"/>
        <v>ok</v>
      </c>
      <c r="CF21" s="112"/>
      <c r="CG21" s="96" t="str">
        <f t="shared" si="12"/>
        <v>ok</v>
      </c>
      <c r="CH21" s="81"/>
      <c r="CI21" s="96" t="str">
        <f t="shared" si="13"/>
        <v>ok</v>
      </c>
      <c r="CJ21" s="113"/>
      <c r="CK21" s="96" t="str">
        <f t="shared" si="14"/>
        <v>ok</v>
      </c>
      <c r="CL21" s="81"/>
      <c r="CM21" s="96" t="str">
        <f t="shared" si="15"/>
        <v>ok</v>
      </c>
      <c r="CN21" s="113"/>
      <c r="CO21" s="96" t="str">
        <f t="shared" si="16"/>
        <v>ok</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6"/>
      <c r="G22" s="523"/>
      <c r="H22" s="536"/>
      <c r="I22" s="523"/>
      <c r="J22" s="536"/>
      <c r="K22" s="523"/>
      <c r="L22" s="536"/>
      <c r="M22" s="523"/>
      <c r="N22" s="536"/>
      <c r="O22" s="523"/>
      <c r="P22" s="536"/>
      <c r="Q22" s="523"/>
      <c r="R22" s="536"/>
      <c r="S22" s="523"/>
      <c r="T22" s="536"/>
      <c r="U22" s="523"/>
      <c r="V22" s="536"/>
      <c r="W22" s="523"/>
      <c r="X22" s="536"/>
      <c r="Y22" s="523"/>
      <c r="Z22" s="536"/>
      <c r="AA22" s="523"/>
      <c r="AB22" s="536"/>
      <c r="AC22" s="523"/>
      <c r="AD22" s="536"/>
      <c r="AE22" s="523"/>
      <c r="AF22" s="536"/>
      <c r="AG22" s="523"/>
      <c r="AH22" s="536"/>
      <c r="AI22" s="523"/>
      <c r="AJ22" s="536"/>
      <c r="AK22" s="523"/>
      <c r="AL22" s="536"/>
      <c r="AM22" s="523"/>
      <c r="AN22" s="536"/>
      <c r="AO22" s="523"/>
      <c r="AP22" s="536"/>
      <c r="AQ22" s="523"/>
      <c r="AR22" s="536"/>
      <c r="AS22" s="523"/>
      <c r="AT22" s="536"/>
      <c r="AU22" s="523"/>
      <c r="AV22" s="536"/>
      <c r="AW22" s="523"/>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6"/>
      <c r="G23" s="523"/>
      <c r="H23" s="536"/>
      <c r="I23" s="523"/>
      <c r="J23" s="536"/>
      <c r="K23" s="523"/>
      <c r="L23" s="536"/>
      <c r="M23" s="523"/>
      <c r="N23" s="536"/>
      <c r="O23" s="523"/>
      <c r="P23" s="536"/>
      <c r="Q23" s="523"/>
      <c r="R23" s="536"/>
      <c r="S23" s="523"/>
      <c r="T23" s="536"/>
      <c r="U23" s="523"/>
      <c r="V23" s="536"/>
      <c r="W23" s="523"/>
      <c r="X23" s="536"/>
      <c r="Y23" s="523"/>
      <c r="Z23" s="536"/>
      <c r="AA23" s="523"/>
      <c r="AB23" s="536"/>
      <c r="AC23" s="523"/>
      <c r="AD23" s="536"/>
      <c r="AE23" s="523"/>
      <c r="AF23" s="536"/>
      <c r="AG23" s="523"/>
      <c r="AH23" s="536"/>
      <c r="AI23" s="523"/>
      <c r="AJ23" s="536"/>
      <c r="AK23" s="523"/>
      <c r="AL23" s="536"/>
      <c r="AM23" s="523"/>
      <c r="AN23" s="536"/>
      <c r="AO23" s="523"/>
      <c r="AP23" s="536"/>
      <c r="AQ23" s="523"/>
      <c r="AR23" s="536"/>
      <c r="AS23" s="523"/>
      <c r="AT23" s="536"/>
      <c r="AU23" s="523"/>
      <c r="AV23" s="536"/>
      <c r="AW23" s="523"/>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6"/>
      <c r="G24" s="523"/>
      <c r="H24" s="536"/>
      <c r="I24" s="523"/>
      <c r="J24" s="536"/>
      <c r="K24" s="523"/>
      <c r="L24" s="536"/>
      <c r="M24" s="523"/>
      <c r="N24" s="536"/>
      <c r="O24" s="523"/>
      <c r="P24" s="536"/>
      <c r="Q24" s="523"/>
      <c r="R24" s="536"/>
      <c r="S24" s="523"/>
      <c r="T24" s="536"/>
      <c r="U24" s="523"/>
      <c r="V24" s="536"/>
      <c r="W24" s="523"/>
      <c r="X24" s="536"/>
      <c r="Y24" s="523"/>
      <c r="Z24" s="536"/>
      <c r="AA24" s="523"/>
      <c r="AB24" s="536"/>
      <c r="AC24" s="523"/>
      <c r="AD24" s="536"/>
      <c r="AE24" s="523"/>
      <c r="AF24" s="536"/>
      <c r="AG24" s="523"/>
      <c r="AH24" s="536"/>
      <c r="AI24" s="523"/>
      <c r="AJ24" s="536"/>
      <c r="AK24" s="523"/>
      <c r="AL24" s="536"/>
      <c r="AM24" s="523"/>
      <c r="AN24" s="536"/>
      <c r="AO24" s="523"/>
      <c r="AP24" s="536"/>
      <c r="AQ24" s="523"/>
      <c r="AR24" s="536"/>
      <c r="AS24" s="523"/>
      <c r="AT24" s="536"/>
      <c r="AU24" s="523"/>
      <c r="AV24" s="536"/>
      <c r="AW24" s="523"/>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6">
        <v>61.0999984741211</v>
      </c>
      <c r="G25" s="523" t="s">
        <v>660</v>
      </c>
      <c r="H25" s="536">
        <v>71.4000015258789</v>
      </c>
      <c r="I25" s="523" t="s">
        <v>660</v>
      </c>
      <c r="J25" s="536">
        <v>77.6999969482422</v>
      </c>
      <c r="K25" s="523" t="s">
        <v>660</v>
      </c>
      <c r="L25" s="536"/>
      <c r="M25" s="523"/>
      <c r="N25" s="536"/>
      <c r="O25" s="523"/>
      <c r="P25" s="536"/>
      <c r="Q25" s="523"/>
      <c r="R25" s="536"/>
      <c r="S25" s="523"/>
      <c r="T25" s="536"/>
      <c r="U25" s="523"/>
      <c r="V25" s="536"/>
      <c r="W25" s="523"/>
      <c r="X25" s="536"/>
      <c r="Y25" s="523"/>
      <c r="Z25" s="536">
        <v>99.2026365</v>
      </c>
      <c r="AA25" s="523" t="s">
        <v>661</v>
      </c>
      <c r="AB25" s="536">
        <v>96.74595149999999</v>
      </c>
      <c r="AC25" s="523" t="s">
        <v>661</v>
      </c>
      <c r="AD25" s="536">
        <v>96.65091149999999</v>
      </c>
      <c r="AE25" s="523" t="s">
        <v>661</v>
      </c>
      <c r="AF25" s="536">
        <v>94.7482965</v>
      </c>
      <c r="AG25" s="523" t="s">
        <v>661</v>
      </c>
      <c r="AH25" s="536">
        <v>94.14142649999998</v>
      </c>
      <c r="AI25" s="523" t="s">
        <v>661</v>
      </c>
      <c r="AJ25" s="536">
        <v>90.26772149999998</v>
      </c>
      <c r="AK25" s="523" t="s">
        <v>661</v>
      </c>
      <c r="AL25" s="536">
        <v>88.1997765</v>
      </c>
      <c r="AM25" s="523" t="s">
        <v>661</v>
      </c>
      <c r="AN25" s="536">
        <v>83.9206665</v>
      </c>
      <c r="AO25" s="523" t="s">
        <v>661</v>
      </c>
      <c r="AP25" s="536">
        <v>80.3</v>
      </c>
      <c r="AQ25" s="523" t="s">
        <v>661</v>
      </c>
      <c r="AR25" s="536">
        <v>78.5</v>
      </c>
      <c r="AS25" s="523" t="s">
        <v>661</v>
      </c>
      <c r="AT25" s="536"/>
      <c r="AU25" s="523"/>
      <c r="AV25" s="536"/>
      <c r="AW25" s="523"/>
      <c r="AZ25" s="81">
        <v>18</v>
      </c>
      <c r="BA25" s="233" t="s">
        <v>92</v>
      </c>
      <c r="BB25" s="81" t="s">
        <v>573</v>
      </c>
      <c r="BC25" s="81" t="s">
        <v>82</v>
      </c>
      <c r="BD25" s="114"/>
      <c r="BE25" s="96" t="str">
        <f t="shared" si="19"/>
        <v>ok</v>
      </c>
      <c r="BF25" s="96"/>
      <c r="BG25" s="96" t="str">
        <f t="shared" si="20"/>
        <v>ok</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ok</v>
      </c>
      <c r="BZ25" s="81"/>
      <c r="CA25" s="96" t="str">
        <f t="shared" si="9"/>
        <v>ok</v>
      </c>
      <c r="CB25" s="81"/>
      <c r="CC25" s="96" t="str">
        <f t="shared" si="10"/>
        <v>ok</v>
      </c>
      <c r="CD25" s="112"/>
      <c r="CE25" s="96" t="str">
        <f t="shared" si="11"/>
        <v>ok</v>
      </c>
      <c r="CF25" s="112"/>
      <c r="CG25" s="96" t="str">
        <f t="shared" si="12"/>
        <v>ok</v>
      </c>
      <c r="CH25" s="114"/>
      <c r="CI25" s="96" t="str">
        <f t="shared" si="13"/>
        <v>ok</v>
      </c>
      <c r="CJ25" s="114"/>
      <c r="CK25" s="96" t="str">
        <f t="shared" si="14"/>
        <v>ok</v>
      </c>
      <c r="CL25" s="114"/>
      <c r="CM25" s="96" t="str">
        <f t="shared" si="15"/>
        <v>ok</v>
      </c>
      <c r="CN25" s="114"/>
      <c r="CO25" s="96" t="str">
        <f t="shared" si="16"/>
        <v>ok</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38"/>
      <c r="G26" s="524"/>
      <c r="H26" s="538"/>
      <c r="I26" s="524"/>
      <c r="J26" s="538"/>
      <c r="K26" s="524"/>
      <c r="L26" s="538"/>
      <c r="M26" s="524"/>
      <c r="N26" s="538"/>
      <c r="O26" s="524"/>
      <c r="P26" s="538"/>
      <c r="Q26" s="524"/>
      <c r="R26" s="538"/>
      <c r="S26" s="524"/>
      <c r="T26" s="538"/>
      <c r="U26" s="524"/>
      <c r="V26" s="538"/>
      <c r="W26" s="524"/>
      <c r="X26" s="538"/>
      <c r="Y26" s="524"/>
      <c r="Z26" s="538"/>
      <c r="AA26" s="524"/>
      <c r="AB26" s="538"/>
      <c r="AC26" s="524"/>
      <c r="AD26" s="538"/>
      <c r="AE26" s="524"/>
      <c r="AF26" s="538"/>
      <c r="AG26" s="524"/>
      <c r="AH26" s="538"/>
      <c r="AI26" s="524"/>
      <c r="AJ26" s="538"/>
      <c r="AK26" s="524"/>
      <c r="AL26" s="538"/>
      <c r="AM26" s="524"/>
      <c r="AN26" s="538"/>
      <c r="AO26" s="524"/>
      <c r="AP26" s="538"/>
      <c r="AQ26" s="524"/>
      <c r="AR26" s="538"/>
      <c r="AS26" s="524"/>
      <c r="AT26" s="538"/>
      <c r="AU26" s="524"/>
      <c r="AV26" s="538"/>
      <c r="AW26" s="524"/>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39">
        <v>144</v>
      </c>
      <c r="G27" s="525" t="s">
        <v>662</v>
      </c>
      <c r="H27" s="539">
        <v>197</v>
      </c>
      <c r="I27" s="525" t="s">
        <v>662</v>
      </c>
      <c r="J27" s="539">
        <v>331</v>
      </c>
      <c r="K27" s="525" t="s">
        <v>662</v>
      </c>
      <c r="L27" s="539">
        <v>312.1000061035156</v>
      </c>
      <c r="M27" s="525" t="s">
        <v>662</v>
      </c>
      <c r="N27" s="539">
        <v>293.5</v>
      </c>
      <c r="O27" s="525" t="s">
        <v>662</v>
      </c>
      <c r="P27" s="539">
        <v>307.29998779296875</v>
      </c>
      <c r="Q27" s="525" t="s">
        <v>662</v>
      </c>
      <c r="R27" s="539">
        <v>294</v>
      </c>
      <c r="S27" s="525" t="s">
        <v>663</v>
      </c>
      <c r="T27" s="539">
        <v>289</v>
      </c>
      <c r="U27" s="525" t="s">
        <v>663</v>
      </c>
      <c r="V27" s="539">
        <v>295</v>
      </c>
      <c r="W27" s="525" t="s">
        <v>664</v>
      </c>
      <c r="X27" s="539">
        <v>284</v>
      </c>
      <c r="Y27" s="525" t="s">
        <v>664</v>
      </c>
      <c r="Z27" s="539">
        <v>296.3777770996094</v>
      </c>
      <c r="AA27" s="525" t="s">
        <v>662</v>
      </c>
      <c r="AB27" s="539">
        <v>302.2781066894531</v>
      </c>
      <c r="AC27" s="525" t="s">
        <v>662</v>
      </c>
      <c r="AD27" s="539">
        <v>304.1783142089844</v>
      </c>
      <c r="AE27" s="525" t="s">
        <v>662</v>
      </c>
      <c r="AF27" s="539">
        <v>300.65386962890625</v>
      </c>
      <c r="AG27" s="525" t="s">
        <v>662</v>
      </c>
      <c r="AH27" s="539">
        <v>337.338134765625</v>
      </c>
      <c r="AI27" s="525" t="s">
        <v>665</v>
      </c>
      <c r="AJ27" s="539">
        <v>381.3981628417969</v>
      </c>
      <c r="AK27" s="525" t="s">
        <v>666</v>
      </c>
      <c r="AL27" s="539">
        <v>415.582</v>
      </c>
      <c r="AM27" s="525" t="s">
        <v>666</v>
      </c>
      <c r="AN27" s="539">
        <v>386.221</v>
      </c>
      <c r="AO27" s="525" t="s">
        <v>662</v>
      </c>
      <c r="AP27" s="539">
        <v>392.577</v>
      </c>
      <c r="AQ27" s="525" t="s">
        <v>662</v>
      </c>
      <c r="AR27" s="539">
        <v>384.672</v>
      </c>
      <c r="AS27" s="525" t="s">
        <v>662</v>
      </c>
      <c r="AT27" s="539"/>
      <c r="AU27" s="525"/>
      <c r="AV27" s="539"/>
      <c r="AW27" s="525"/>
      <c r="AZ27" s="94">
        <v>20</v>
      </c>
      <c r="BA27" s="439" t="s">
        <v>33</v>
      </c>
      <c r="BB27" s="94" t="s">
        <v>300</v>
      </c>
      <c r="BC27" s="94" t="s">
        <v>82</v>
      </c>
      <c r="BD27" s="440"/>
      <c r="BE27" s="96" t="str">
        <f t="shared" si="19"/>
        <v>&gt; 25%</v>
      </c>
      <c r="BF27" s="96"/>
      <c r="BG27" s="96" t="str">
        <f t="shared" si="20"/>
        <v>&gt; 25%</v>
      </c>
      <c r="BH27" s="96"/>
      <c r="BI27" s="94" t="str">
        <f t="shared" si="0"/>
        <v>ok</v>
      </c>
      <c r="BJ27" s="94"/>
      <c r="BK27" s="94" t="str">
        <f t="shared" si="1"/>
        <v>ok</v>
      </c>
      <c r="BL27" s="94"/>
      <c r="BM27" s="94" t="str">
        <f t="shared" si="2"/>
        <v>ok</v>
      </c>
      <c r="BN27" s="94"/>
      <c r="BO27" s="94" t="str">
        <f t="shared" si="3"/>
        <v>ok</v>
      </c>
      <c r="BP27" s="94"/>
      <c r="BQ27" s="94" t="str">
        <f t="shared" si="4"/>
        <v>ok</v>
      </c>
      <c r="BR27" s="94"/>
      <c r="BS27" s="94" t="str">
        <f t="shared" si="5"/>
        <v>ok</v>
      </c>
      <c r="BT27" s="94"/>
      <c r="BU27" s="94" t="str">
        <f t="shared" si="6"/>
        <v>ok</v>
      </c>
      <c r="BV27" s="94"/>
      <c r="BW27" s="94" t="str">
        <f t="shared" si="7"/>
        <v>ok</v>
      </c>
      <c r="BX27" s="94"/>
      <c r="BY27" s="94" t="str">
        <f t="shared" si="8"/>
        <v>ok</v>
      </c>
      <c r="BZ27" s="94"/>
      <c r="CA27" s="94" t="str">
        <f t="shared" si="9"/>
        <v>ok</v>
      </c>
      <c r="CB27" s="94"/>
      <c r="CC27" s="94" t="str">
        <f t="shared" si="10"/>
        <v>ok</v>
      </c>
      <c r="CD27" s="94"/>
      <c r="CE27" s="94" t="str">
        <f t="shared" si="11"/>
        <v>ok</v>
      </c>
      <c r="CF27" s="94"/>
      <c r="CG27" s="94" t="str">
        <f t="shared" si="12"/>
        <v>ok</v>
      </c>
      <c r="CH27" s="94"/>
      <c r="CI27" s="94" t="str">
        <f t="shared" si="13"/>
        <v>ok</v>
      </c>
      <c r="CJ27" s="94"/>
      <c r="CK27" s="94" t="str">
        <f t="shared" si="14"/>
        <v>ok</v>
      </c>
      <c r="CL27" s="94"/>
      <c r="CM27" s="94" t="str">
        <f t="shared" si="15"/>
        <v>ok</v>
      </c>
      <c r="CN27" s="94"/>
      <c r="CO27" s="94" t="str">
        <f t="shared" si="16"/>
        <v>ok</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4" t="s">
        <v>254</v>
      </c>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4" t="s">
        <v>143</v>
      </c>
      <c r="E31" s="824"/>
      <c r="F31" s="824"/>
      <c r="G31" s="824"/>
      <c r="H31" s="824"/>
      <c r="I31" s="824"/>
      <c r="J31" s="824"/>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4"/>
      <c r="AL31" s="824"/>
      <c r="AM31" s="824"/>
      <c r="AN31" s="824"/>
      <c r="AO31" s="824"/>
      <c r="AP31" s="824"/>
      <c r="AQ31" s="824"/>
      <c r="AR31" s="824"/>
      <c r="AS31" s="824"/>
      <c r="AT31" s="824"/>
      <c r="AU31" s="824"/>
      <c r="AV31" s="824"/>
      <c r="AW31" s="824"/>
      <c r="AX31" s="824"/>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2806.270182</v>
      </c>
      <c r="BX31" s="81"/>
      <c r="BY31" s="81">
        <f>AB8</f>
        <v>2809.994602</v>
      </c>
      <c r="BZ31" s="81"/>
      <c r="CA31" s="81">
        <f>AD8</f>
        <v>2883.867882</v>
      </c>
      <c r="CB31" s="81"/>
      <c r="CC31" s="81">
        <f>AF8</f>
        <v>2904.3310619999997</v>
      </c>
      <c r="CD31" s="81"/>
      <c r="CE31" s="81">
        <f>AH8</f>
        <v>2907.521902</v>
      </c>
      <c r="CF31" s="81"/>
      <c r="CG31" s="81">
        <f>AJ8</f>
        <v>2851.356962</v>
      </c>
      <c r="CH31" s="81"/>
      <c r="CI31" s="81">
        <f>AL8</f>
        <v>2908.599702</v>
      </c>
      <c r="CJ31" s="81"/>
      <c r="CK31" s="81">
        <f>AN8</f>
        <v>2874.8942220000004</v>
      </c>
      <c r="CL31" s="81"/>
      <c r="CM31" s="81">
        <f>AP8</f>
        <v>2908.011</v>
      </c>
      <c r="CN31" s="81"/>
      <c r="CO31" s="81">
        <f>AR8</f>
        <v>2928.603</v>
      </c>
      <c r="CP31" s="81"/>
      <c r="CQ31" s="81">
        <f>AT8</f>
        <v>0</v>
      </c>
      <c r="CR31" s="81"/>
      <c r="CS31" s="81">
        <f>AV8</f>
        <v>0</v>
      </c>
      <c r="CT31" s="81"/>
      <c r="CU31" s="250"/>
      <c r="CV31" s="250"/>
    </row>
    <row r="32" spans="1:100" ht="25.5" customHeight="1">
      <c r="A32" s="247"/>
      <c r="B32" s="247"/>
      <c r="C32" s="245" t="s">
        <v>142</v>
      </c>
      <c r="D32" s="814" t="s">
        <v>110</v>
      </c>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4"/>
      <c r="AR32" s="814"/>
      <c r="AS32" s="814"/>
      <c r="AT32" s="814"/>
      <c r="AU32" s="814"/>
      <c r="AV32" s="814"/>
      <c r="AW32" s="814"/>
      <c r="AX32" s="814"/>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19.1223258972168</v>
      </c>
      <c r="BX32" s="81"/>
      <c r="BY32" s="81">
        <f>SUM(AB9:AB12)+SUM(AB14:AB16)</f>
        <v>26.5233249664307</v>
      </c>
      <c r="BZ32" s="81"/>
      <c r="CA32" s="81">
        <f>SUM(AD9:AD12)+SUM(AD14:AD16)</f>
        <v>46.3643264770508</v>
      </c>
      <c r="CB32" s="81"/>
      <c r="CC32" s="81">
        <f>SUM(AF9:AF12)+SUM(AF14:AF16)</f>
        <v>117.402923583984</v>
      </c>
      <c r="CD32" s="81"/>
      <c r="CE32" s="81">
        <f>SUM(AH9:AH12)+SUM(AH14:AH16)</f>
        <v>223.61882934719313</v>
      </c>
      <c r="CF32" s="81"/>
      <c r="CG32" s="81">
        <f>SUM(AJ9:AJ12)+SUM(AJ14:AJ16)</f>
        <v>226.48322448879512</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18"/>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897" t="str">
        <f>D17&amp;" (W4,10)"</f>
        <v>Wastewater treated in urban wastewater treatment plants (W4,10)</v>
      </c>
      <c r="V34" s="898"/>
      <c r="W34" s="898"/>
      <c r="X34" s="898"/>
      <c r="Y34" s="898"/>
      <c r="Z34" s="898"/>
      <c r="AA34" s="898"/>
      <c r="AB34" s="899"/>
      <c r="AC34" s="248"/>
      <c r="AD34" s="248"/>
      <c r="AE34" s="248"/>
      <c r="AF34" s="248"/>
      <c r="AG34" s="248"/>
      <c r="AH34" s="248"/>
      <c r="AI34" s="253"/>
      <c r="AJ34" s="448"/>
      <c r="AK34" s="448"/>
      <c r="AL34" s="448"/>
      <c r="AM34" s="800"/>
      <c r="AN34" s="800"/>
      <c r="AO34" s="800"/>
      <c r="AP34" s="800"/>
      <c r="AQ34" s="800"/>
      <c r="AR34" s="800"/>
      <c r="AS34" s="800"/>
      <c r="AT34" s="800"/>
      <c r="AU34" s="248"/>
      <c r="AV34" s="248"/>
      <c r="AW34" s="248"/>
      <c r="AX34" s="248"/>
      <c r="AY34" s="347"/>
      <c r="AZ34" s="261">
        <v>22</v>
      </c>
      <c r="BA34" s="249" t="s">
        <v>578</v>
      </c>
      <c r="BB34" s="81" t="s">
        <v>299</v>
      </c>
      <c r="BC34" s="81">
        <f>F17+F21+F25+F26</f>
        <v>2411.784812927241</v>
      </c>
      <c r="BD34" s="81"/>
      <c r="BE34" s="81">
        <f>H17+H21+H25+H26</f>
        <v>2496.057472228999</v>
      </c>
      <c r="BF34" s="81"/>
      <c r="BG34" s="81">
        <f>J17+J21+J25+J26</f>
        <v>2573.590377807622</v>
      </c>
      <c r="BH34" s="81"/>
      <c r="BI34" s="81">
        <f>L17+L21+L25+L26</f>
        <v>0</v>
      </c>
      <c r="BJ34" s="81"/>
      <c r="BK34" s="81">
        <f>N17+N21+N25+N26</f>
        <v>0</v>
      </c>
      <c r="BL34" s="81"/>
      <c r="BM34" s="81">
        <f>P17+P21+P25+P26</f>
        <v>0</v>
      </c>
      <c r="BN34" s="81"/>
      <c r="BO34" s="81">
        <f>R17+R21+R25+R26</f>
        <v>0</v>
      </c>
      <c r="BP34" s="81"/>
      <c r="BQ34" s="81">
        <f>T17+T21+T25+T26</f>
        <v>0</v>
      </c>
      <c r="BR34" s="81"/>
      <c r="BS34" s="81">
        <f>V17+V21+V25+V26</f>
        <v>2693</v>
      </c>
      <c r="BT34" s="81"/>
      <c r="BU34" s="81">
        <f>X17+X21+X25+X26</f>
        <v>2675</v>
      </c>
      <c r="BV34" s="81"/>
      <c r="BW34" s="81">
        <f>Z17+Z21+Z25+Z26</f>
        <v>2806.270182</v>
      </c>
      <c r="BX34" s="81"/>
      <c r="BY34" s="81">
        <f>AB17+AB21+AB25+AB26</f>
        <v>2809.994602</v>
      </c>
      <c r="BZ34" s="81"/>
      <c r="CA34" s="81">
        <f>AD17+AD21+AD25+AD26</f>
        <v>2883.867882</v>
      </c>
      <c r="CB34" s="81"/>
      <c r="CC34" s="81">
        <f>AF17+AF21+AF25+AF26</f>
        <v>2904.3310619999997</v>
      </c>
      <c r="CD34" s="81"/>
      <c r="CE34" s="81">
        <f>AH17+AH21+AH25+AH26</f>
        <v>2907.521902</v>
      </c>
      <c r="CF34" s="81"/>
      <c r="CG34" s="81">
        <f>AJ17+AJ21+AJ25+AJ26</f>
        <v>2851.356962</v>
      </c>
      <c r="CH34" s="81"/>
      <c r="CI34" s="81">
        <f>AL17+AL21+AL25+AL26</f>
        <v>2908.599702</v>
      </c>
      <c r="CJ34" s="81"/>
      <c r="CK34" s="81">
        <f>AN17+AN21+AN25+AN26</f>
        <v>2874.8942220000004</v>
      </c>
      <c r="CL34" s="81"/>
      <c r="CM34" s="81">
        <f>AP17+AP21+AP25+AP26</f>
        <v>2908.1000000000004</v>
      </c>
      <c r="CN34" s="81"/>
      <c r="CO34" s="81">
        <f>AR17+AR21+AR25+AR26</f>
        <v>2928.7</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0" t="str">
        <f>D8&amp;" (W4,1)"</f>
        <v>Total wastewater generated (W4,1)</v>
      </c>
      <c r="K38" s="888"/>
      <c r="L38" s="888"/>
      <c r="M38" s="888"/>
      <c r="N38" s="889"/>
      <c r="O38" s="248"/>
      <c r="P38" s="248"/>
      <c r="Q38" s="248"/>
      <c r="R38" s="248"/>
      <c r="S38" s="248"/>
      <c r="T38" s="248"/>
      <c r="U38" s="897" t="str">
        <f>D21&amp;" (W4,14)"</f>
        <v>Wastewater treated in other treatment plants (W4,14)</v>
      </c>
      <c r="V38" s="898"/>
      <c r="W38" s="898"/>
      <c r="X38" s="898"/>
      <c r="Y38" s="898"/>
      <c r="Z38" s="898"/>
      <c r="AA38" s="898"/>
      <c r="AB38" s="899"/>
      <c r="AC38" s="556"/>
      <c r="AD38" s="556"/>
      <c r="AE38" s="556"/>
      <c r="AF38" s="556"/>
      <c r="AG38" s="556"/>
      <c r="AH38" s="248"/>
      <c r="AI38" s="451"/>
      <c r="AJ38" s="451"/>
      <c r="AK38" s="451"/>
      <c r="AL38" s="451"/>
      <c r="AM38" s="800"/>
      <c r="AN38" s="800"/>
      <c r="AO38" s="800"/>
      <c r="AP38" s="800"/>
      <c r="AQ38" s="800"/>
      <c r="AR38" s="800"/>
      <c r="AS38" s="800"/>
      <c r="AT38" s="800"/>
      <c r="AU38" s="248"/>
      <c r="AV38" s="248"/>
      <c r="AW38" s="248"/>
      <c r="AX38" s="248"/>
      <c r="AY38" s="347"/>
      <c r="AZ38" s="81">
        <v>14</v>
      </c>
      <c r="BA38" s="220" t="s">
        <v>121</v>
      </c>
      <c r="BB38" s="81" t="s">
        <v>299</v>
      </c>
      <c r="BC38" s="81">
        <f>F17</f>
        <v>2350.68481445312</v>
      </c>
      <c r="BD38" s="81"/>
      <c r="BE38" s="81">
        <f>H17</f>
        <v>2424.65747070312</v>
      </c>
      <c r="BF38" s="81"/>
      <c r="BG38" s="81">
        <f>J17</f>
        <v>2495.89038085938</v>
      </c>
      <c r="BH38" s="81"/>
      <c r="BI38" s="81">
        <f>L17</f>
        <v>0</v>
      </c>
      <c r="BJ38" s="81"/>
      <c r="BK38" s="81">
        <f>N17</f>
        <v>0</v>
      </c>
      <c r="BL38" s="81"/>
      <c r="BM38" s="81">
        <f>P17</f>
        <v>0</v>
      </c>
      <c r="BN38" s="81"/>
      <c r="BO38" s="81">
        <f>R17</f>
        <v>0</v>
      </c>
      <c r="BP38" s="81"/>
      <c r="BQ38" s="81">
        <f>T17</f>
        <v>0</v>
      </c>
      <c r="BR38" s="81"/>
      <c r="BS38" s="81">
        <f>V17</f>
        <v>2693</v>
      </c>
      <c r="BT38" s="81"/>
      <c r="BU38" s="81">
        <f>X17</f>
        <v>2675</v>
      </c>
      <c r="BV38" s="81"/>
      <c r="BW38" s="81">
        <f>Z17</f>
        <v>2674</v>
      </c>
      <c r="BX38" s="81"/>
      <c r="BY38" s="81">
        <f>AB17</f>
        <v>2681</v>
      </c>
      <c r="BZ38" s="81"/>
      <c r="CA38" s="81">
        <f>AD17</f>
        <v>2755</v>
      </c>
      <c r="CB38" s="81"/>
      <c r="CC38" s="81">
        <f>AF17</f>
        <v>2778</v>
      </c>
      <c r="CD38" s="81"/>
      <c r="CE38" s="81">
        <f>AH17</f>
        <v>2782</v>
      </c>
      <c r="CF38" s="81"/>
      <c r="CG38" s="81">
        <f>AJ17</f>
        <v>2731</v>
      </c>
      <c r="CH38" s="81"/>
      <c r="CI38" s="81">
        <f>AL17</f>
        <v>2791</v>
      </c>
      <c r="CJ38" s="81"/>
      <c r="CK38" s="81">
        <f>AN17</f>
        <v>2763</v>
      </c>
      <c r="CL38" s="81"/>
      <c r="CM38" s="81">
        <f>AP17</f>
        <v>2801</v>
      </c>
      <c r="CN38" s="81"/>
      <c r="CO38" s="81">
        <f>AR17</f>
        <v>2824</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1"/>
      <c r="K39" s="902"/>
      <c r="L39" s="902"/>
      <c r="M39" s="902"/>
      <c r="N39" s="903"/>
      <c r="O39" s="248"/>
      <c r="P39" s="248"/>
      <c r="Q39" s="248"/>
      <c r="R39" s="248"/>
      <c r="S39" s="248"/>
      <c r="T39" s="248"/>
      <c r="U39" s="248"/>
      <c r="V39" s="248"/>
      <c r="W39" s="248"/>
      <c r="X39" s="450"/>
      <c r="Y39" s="451"/>
      <c r="Z39" s="556"/>
      <c r="AA39" s="556"/>
      <c r="AB39" s="556"/>
      <c r="AC39" s="556"/>
      <c r="AD39" s="556"/>
      <c r="AE39" s="556"/>
      <c r="AF39" s="556"/>
      <c r="AG39" s="556"/>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1"/>
      <c r="K40" s="902"/>
      <c r="L40" s="902"/>
      <c r="M40" s="902"/>
      <c r="N40" s="903"/>
      <c r="O40" s="248"/>
      <c r="P40" s="248"/>
      <c r="Q40" s="248"/>
      <c r="R40" s="248"/>
      <c r="S40" s="248"/>
      <c r="T40" s="248"/>
      <c r="U40" s="175"/>
      <c r="V40" s="175"/>
      <c r="W40" s="175"/>
      <c r="X40" s="175"/>
      <c r="Y40" s="175"/>
      <c r="Z40" s="175"/>
      <c r="AA40" s="175"/>
      <c r="AB40" s="175"/>
      <c r="AC40" s="556"/>
      <c r="AD40" s="556"/>
      <c r="AE40" s="556"/>
      <c r="AF40" s="556"/>
      <c r="AG40" s="556"/>
      <c r="AH40" s="248"/>
      <c r="AI40" s="257"/>
      <c r="AJ40" s="366"/>
      <c r="AK40" s="366"/>
      <c r="AL40" s="366"/>
      <c r="AM40" s="800"/>
      <c r="AN40" s="800"/>
      <c r="AO40" s="800"/>
      <c r="AP40" s="800"/>
      <c r="AQ40" s="800"/>
      <c r="AR40" s="800"/>
      <c r="AS40" s="800"/>
      <c r="AT40" s="800"/>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1815</v>
      </c>
      <c r="BL40" s="81"/>
      <c r="BM40" s="81">
        <f>SUM(P18:P20)</f>
        <v>1892</v>
      </c>
      <c r="BN40" s="81"/>
      <c r="BO40" s="81">
        <f>SUM(R18:R20)</f>
        <v>1879</v>
      </c>
      <c r="BP40" s="81"/>
      <c r="BQ40" s="81">
        <f>SUM(T18:T20)</f>
        <v>1864.36</v>
      </c>
      <c r="BR40" s="81"/>
      <c r="BS40" s="81">
        <f>SUM(V18:V20)</f>
        <v>1914.02995117188</v>
      </c>
      <c r="BT40" s="81"/>
      <c r="BU40" s="81">
        <f>SUM(X18:X20)</f>
        <v>1893.15002441406</v>
      </c>
      <c r="BV40" s="81"/>
      <c r="BW40" s="81">
        <f>SUM(Z18:Z20)</f>
        <v>1876.95997558594</v>
      </c>
      <c r="BX40" s="81"/>
      <c r="BY40" s="81">
        <f>SUM(AB18:AB20)</f>
        <v>1888.78002441406</v>
      </c>
      <c r="BZ40" s="81"/>
      <c r="CA40" s="81">
        <f>SUM(AD18:AD20)</f>
        <v>1913.24004882812</v>
      </c>
      <c r="CB40" s="81"/>
      <c r="CC40" s="81">
        <f>SUM(AF18:AF20)</f>
        <v>1959.13995117188</v>
      </c>
      <c r="CD40" s="81"/>
      <c r="CE40" s="81">
        <f>SUM(AH18:AH20)</f>
        <v>2104.38</v>
      </c>
      <c r="CF40" s="81"/>
      <c r="CG40" s="81">
        <f>SUM(AJ18:AJ20)</f>
        <v>2248.38</v>
      </c>
      <c r="CH40" s="81"/>
      <c r="CI40" s="81">
        <f>SUM(AL18:AL20)</f>
        <v>2662.48</v>
      </c>
      <c r="CJ40" s="81"/>
      <c r="CK40" s="81">
        <f>SUM(AN18:AN20)</f>
        <v>2639.45</v>
      </c>
      <c r="CL40" s="81"/>
      <c r="CM40" s="81">
        <f>SUM(AP18:AP20)</f>
        <v>2675.45</v>
      </c>
      <c r="CN40" s="81"/>
      <c r="CO40" s="81">
        <f>SUM(AR18:AR20)</f>
        <v>2689.48</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0"/>
      <c r="K41" s="891"/>
      <c r="L41" s="891"/>
      <c r="M41" s="891"/>
      <c r="N41" s="892"/>
      <c r="O41" s="248"/>
      <c r="P41" s="248"/>
      <c r="Q41" s="248"/>
      <c r="R41" s="248"/>
      <c r="S41" s="248"/>
      <c r="T41" s="248"/>
      <c r="U41" s="248"/>
      <c r="V41" s="248"/>
      <c r="W41" s="248"/>
      <c r="X41" s="450"/>
      <c r="Y41" s="451"/>
      <c r="Z41" s="556"/>
      <c r="AA41" s="556"/>
      <c r="AB41" s="556"/>
      <c r="AC41" s="556"/>
      <c r="AD41" s="556"/>
      <c r="AE41" s="556"/>
      <c r="AF41" s="556"/>
      <c r="AG41" s="556"/>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49"/>
      <c r="K42" s="549"/>
      <c r="L42" s="549"/>
      <c r="M42" s="549"/>
      <c r="N42" s="549"/>
      <c r="O42" s="248"/>
      <c r="P42" s="248"/>
      <c r="Q42" s="248"/>
      <c r="R42" s="248"/>
      <c r="S42" s="248"/>
      <c r="T42" s="248"/>
      <c r="U42" s="897" t="str">
        <f>D25&amp;" (W4,18)"</f>
        <v>Wastewater treated in independent treatment facilities (W4,18)</v>
      </c>
      <c r="V42" s="898"/>
      <c r="W42" s="898"/>
      <c r="X42" s="898"/>
      <c r="Y42" s="898"/>
      <c r="Z42" s="898"/>
      <c r="AA42" s="898"/>
      <c r="AB42" s="899"/>
      <c r="AC42" s="556"/>
      <c r="AD42" s="556"/>
      <c r="AE42" s="556"/>
      <c r="AF42" s="556"/>
      <c r="AG42" s="556"/>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&lt;&gt;</v>
      </c>
      <c r="BT42" s="81"/>
      <c r="BU42" s="81" t="str">
        <f>IF(OR(ISBLANK(X17),ISBLANK(X18),ISBLANK(X19),ISBLANK(X20)),"N/A",IF((BU38=BU40),"ok","&lt;&gt;"))</f>
        <v>&lt;&gt;</v>
      </c>
      <c r="BV42" s="81"/>
      <c r="BW42" s="81" t="str">
        <f>IF(OR(ISBLANK(Z17),ISBLANK(Z18),ISBLANK(Z19),ISBLANK(Z20)),"N/A",IF((BW38=BW40),"ok","&lt;&gt;"))</f>
        <v>&lt;&gt;</v>
      </c>
      <c r="BX42" s="81"/>
      <c r="BY42" s="81" t="str">
        <f>IF(OR(ISBLANK(AB17),ISBLANK(AB18),ISBLANK(AB19),ISBLANK(AB20)),"N/A",IF((BY38=BY40),"ok","&lt;&gt;"))</f>
        <v>&lt;&gt;</v>
      </c>
      <c r="BZ42" s="81"/>
      <c r="CA42" s="81" t="str">
        <f>IF(OR(ISBLANK(AD17),ISBLANK(AD18),ISBLANK(AD19),ISBLANK(AD20)),"N/A",IF((CA38=CA40),"ok","&lt;&gt;"))</f>
        <v>&lt;&gt;</v>
      </c>
      <c r="CB42" s="81"/>
      <c r="CC42" s="81" t="str">
        <f>IF(OR(ISBLANK(AF17),ISBLANK(AF18),ISBLANK(AF19),ISBLANK(AF20)),"N/A",IF((CC38=CC40),"ok","&lt;&gt;"))</f>
        <v>&lt;&gt;</v>
      </c>
      <c r="CD42" s="81"/>
      <c r="CE42" s="81" t="str">
        <f>IF(OR(ISBLANK(AH17),ISBLANK(AH18),ISBLANK(AH19),ISBLANK(AH20)),"N/A",IF((CE38=CE40),"ok","&lt;&gt;"))</f>
        <v>&lt;&gt;</v>
      </c>
      <c r="CF42" s="81"/>
      <c r="CG42" s="81" t="str">
        <f>IF(OR(ISBLANK(AJ17),ISBLANK(AJ18),ISBLANK(AJ19),ISBLANK(AJ20)),"N/A",IF((CG38=CG40),"ok","&lt;&gt;"))</f>
        <v>&lt;&gt;</v>
      </c>
      <c r="CH42" s="81"/>
      <c r="CI42" s="81" t="str">
        <f>IF(OR(ISBLANK(AL17),ISBLANK(AL18),ISBLANK(AL19),ISBLANK(AL20)),"N/A",IF((CI38=CI40),"ok","&lt;&gt;"))</f>
        <v>&lt;&gt;</v>
      </c>
      <c r="CJ42" s="81"/>
      <c r="CK42" s="81" t="str">
        <f>IF(OR(ISBLANK(AN17),ISBLANK(AN18),ISBLANK(AN19),ISBLANK(AN20)),"N/A",IF((CK38=CK40),"ok","&lt;&gt;"))</f>
        <v>&lt;&gt;</v>
      </c>
      <c r="CL42" s="81"/>
      <c r="CM42" s="81" t="str">
        <f>IF(OR(ISBLANK(AP17),ISBLANK(AP18),ISBLANK(AP19),ISBLANK(AP20)),"N/A",IF((CM38=CM40),"ok","&lt;&gt;"))</f>
        <v>&lt;&gt;</v>
      </c>
      <c r="CN42" s="81"/>
      <c r="CO42" s="81" t="str">
        <f>IF(OR(ISBLANK(AR17),ISBLANK(AR18),ISBLANK(AR19),ISBLANK(AR20)),"N/A",IF((CO38=CO40),"ok","&lt;&gt;"))</f>
        <v>&lt;&gt;</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49"/>
      <c r="K43" s="549"/>
      <c r="L43" s="549"/>
      <c r="M43" s="549"/>
      <c r="N43" s="549"/>
      <c r="O43" s="248"/>
      <c r="P43" s="248"/>
      <c r="Q43" s="248"/>
      <c r="R43" s="248"/>
      <c r="S43" s="248"/>
      <c r="T43" s="248"/>
      <c r="U43" s="248"/>
      <c r="V43" s="248"/>
      <c r="W43" s="248"/>
      <c r="X43" s="248"/>
      <c r="Y43" s="248"/>
      <c r="Z43" s="248"/>
      <c r="AA43" s="248"/>
      <c r="AB43" s="248"/>
      <c r="AC43" s="248"/>
      <c r="AD43" s="556"/>
      <c r="AE43" s="556"/>
      <c r="AF43" s="556"/>
      <c r="AG43" s="556"/>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0"/>
      <c r="AN44" s="800"/>
      <c r="AO44" s="800"/>
      <c r="AP44" s="800"/>
      <c r="AQ44" s="800"/>
      <c r="AR44" s="800"/>
      <c r="AS44" s="800"/>
      <c r="AT44" s="800"/>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33.0675455</v>
      </c>
      <c r="BX44" s="81"/>
      <c r="BY44" s="81">
        <f>AB21</f>
        <v>32.2486505</v>
      </c>
      <c r="BZ44" s="81"/>
      <c r="CA44" s="81">
        <f>AD21</f>
        <v>32.2169705</v>
      </c>
      <c r="CB44" s="81"/>
      <c r="CC44" s="81">
        <f>AF21</f>
        <v>31.582765499999997</v>
      </c>
      <c r="CD44" s="81"/>
      <c r="CE44" s="81">
        <f>AH21</f>
        <v>31.3804755</v>
      </c>
      <c r="CF44" s="81"/>
      <c r="CG44" s="81">
        <f>AJ21</f>
        <v>30.0892405</v>
      </c>
      <c r="CH44" s="81"/>
      <c r="CI44" s="81">
        <f>AL21</f>
        <v>29.3999255</v>
      </c>
      <c r="CJ44" s="81"/>
      <c r="CK44" s="81">
        <f>AN21</f>
        <v>27.9735555</v>
      </c>
      <c r="CL44" s="81"/>
      <c r="CM44" s="81">
        <f>AP21</f>
        <v>26.8</v>
      </c>
      <c r="CN44" s="81"/>
      <c r="CO44" s="81">
        <f>AR21</f>
        <v>26.2</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897" t="str">
        <f>D26&amp;" (W4,19)"</f>
        <v>Non-treated wastewater (W4,19)</v>
      </c>
      <c r="V46" s="898"/>
      <c r="W46" s="898"/>
      <c r="X46" s="898"/>
      <c r="Y46" s="898"/>
      <c r="Z46" s="898"/>
      <c r="AA46" s="898"/>
      <c r="AB46" s="899"/>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925">
        <v>0</v>
      </c>
      <c r="B51" s="926">
        <v>5870</v>
      </c>
      <c r="C51" s="484" t="s">
        <v>646</v>
      </c>
      <c r="D51" s="825" t="s">
        <v>667</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7"/>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1:98" ht="18" customHeight="1">
      <c r="A52" s="925">
        <v>0</v>
      </c>
      <c r="B52" s="926">
        <v>5864</v>
      </c>
      <c r="C52" s="484" t="s">
        <v>648</v>
      </c>
      <c r="D52" s="802" t="s">
        <v>668</v>
      </c>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4"/>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1:98" ht="28.5" customHeight="1">
      <c r="A53" s="925">
        <v>1</v>
      </c>
      <c r="B53" s="926">
        <v>-1</v>
      </c>
      <c r="C53" s="484" t="s">
        <v>649</v>
      </c>
      <c r="D53" s="802" t="s">
        <v>669</v>
      </c>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04"/>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1:98" ht="18" customHeight="1">
      <c r="A54" s="925">
        <v>1</v>
      </c>
      <c r="B54" s="926">
        <v>5866</v>
      </c>
      <c r="C54" s="484" t="s">
        <v>650</v>
      </c>
      <c r="D54" s="802" t="s">
        <v>670</v>
      </c>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04"/>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1:98" ht="18" customHeight="1">
      <c r="A55" s="925">
        <v>1</v>
      </c>
      <c r="B55" s="926">
        <v>5867</v>
      </c>
      <c r="C55" s="484" t="s">
        <v>671</v>
      </c>
      <c r="D55" s="802" t="s">
        <v>672</v>
      </c>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04"/>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1:50" ht="18" customHeight="1">
      <c r="A56" s="925">
        <v>1</v>
      </c>
      <c r="B56" s="926">
        <v>5868</v>
      </c>
      <c r="C56" s="484" t="s">
        <v>673</v>
      </c>
      <c r="D56" s="802" t="s">
        <v>674</v>
      </c>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ht="18" customHeight="1">
      <c r="A57" s="925">
        <v>1</v>
      </c>
      <c r="B57" s="926">
        <v>-1</v>
      </c>
      <c r="C57" s="484" t="s">
        <v>659</v>
      </c>
      <c r="D57" s="802" t="s">
        <v>675</v>
      </c>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row>
    <row r="58" spans="1:50" ht="18" customHeight="1">
      <c r="A58" s="925">
        <v>1</v>
      </c>
      <c r="B58" s="926">
        <v>2747</v>
      </c>
      <c r="C58" s="484" t="s">
        <v>660</v>
      </c>
      <c r="D58" s="802" t="s">
        <v>676</v>
      </c>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18" customHeight="1">
      <c r="A59" s="925">
        <v>1</v>
      </c>
      <c r="B59" s="926">
        <v>-1</v>
      </c>
      <c r="C59" s="484" t="s">
        <v>661</v>
      </c>
      <c r="D59" s="802" t="s">
        <v>677</v>
      </c>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4"/>
    </row>
    <row r="60" spans="1:50" ht="18" customHeight="1">
      <c r="A60" s="925">
        <v>1</v>
      </c>
      <c r="B60" s="926">
        <v>2748</v>
      </c>
      <c r="C60" s="484" t="s">
        <v>662</v>
      </c>
      <c r="D60" s="825" t="s">
        <v>678</v>
      </c>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c r="AR60" s="826"/>
      <c r="AS60" s="826"/>
      <c r="AT60" s="826"/>
      <c r="AU60" s="826"/>
      <c r="AV60" s="826"/>
      <c r="AW60" s="826"/>
      <c r="AX60" s="827"/>
    </row>
    <row r="61" spans="1:50" ht="18" customHeight="1">
      <c r="A61" s="925">
        <v>1</v>
      </c>
      <c r="B61" s="926">
        <v>3675</v>
      </c>
      <c r="C61" s="484" t="s">
        <v>663</v>
      </c>
      <c r="D61" s="802" t="s">
        <v>679</v>
      </c>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3"/>
      <c r="AS61" s="803"/>
      <c r="AT61" s="803"/>
      <c r="AU61" s="803"/>
      <c r="AV61" s="803"/>
      <c r="AW61" s="803"/>
      <c r="AX61" s="804"/>
    </row>
    <row r="62" spans="1:50" ht="18" customHeight="1">
      <c r="A62" s="925">
        <v>1</v>
      </c>
      <c r="B62" s="926">
        <v>4195</v>
      </c>
      <c r="C62" s="484" t="s">
        <v>664</v>
      </c>
      <c r="D62" s="802" t="s">
        <v>680</v>
      </c>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3"/>
      <c r="AS62" s="803"/>
      <c r="AT62" s="803"/>
      <c r="AU62" s="803"/>
      <c r="AV62" s="803"/>
      <c r="AW62" s="803"/>
      <c r="AX62" s="804"/>
    </row>
    <row r="63" spans="3:50" ht="18" customHeight="1">
      <c r="C63" s="484"/>
      <c r="D63" s="802"/>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3:50" ht="18" customHeight="1">
      <c r="C64" s="484"/>
      <c r="D64" s="802"/>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row>
    <row r="65" spans="3:50" ht="18" customHeight="1">
      <c r="C65" s="484"/>
      <c r="D65" s="802"/>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3:50" ht="18" customHeight="1">
      <c r="C66" s="484"/>
      <c r="D66" s="802"/>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4"/>
    </row>
    <row r="67" spans="3:50" ht="18" customHeight="1">
      <c r="C67" s="484"/>
      <c r="D67" s="825"/>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7"/>
    </row>
    <row r="68" spans="3:50" ht="18" customHeight="1">
      <c r="C68" s="484"/>
      <c r="D68" s="802"/>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3"/>
      <c r="AS68" s="803"/>
      <c r="AT68" s="803"/>
      <c r="AU68" s="803"/>
      <c r="AV68" s="803"/>
      <c r="AW68" s="803"/>
      <c r="AX68" s="804"/>
    </row>
    <row r="69" spans="3:50" ht="18" customHeight="1">
      <c r="C69" s="484"/>
      <c r="D69" s="802"/>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3"/>
      <c r="AS69" s="803"/>
      <c r="AT69" s="803"/>
      <c r="AU69" s="803"/>
      <c r="AV69" s="803"/>
      <c r="AW69" s="803"/>
      <c r="AX69" s="804"/>
    </row>
    <row r="70" spans="3:50" ht="18" customHeight="1">
      <c r="C70" s="484"/>
      <c r="D70" s="802"/>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3:50" ht="18" customHeight="1">
      <c r="C71" s="484"/>
      <c r="D71" s="802"/>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803"/>
      <c r="AV71" s="803"/>
      <c r="AW71" s="803"/>
      <c r="AX71" s="804"/>
    </row>
    <row r="72" spans="3:50" ht="18" customHeight="1">
      <c r="C72" s="484"/>
      <c r="D72" s="802"/>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804"/>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A1">
      <selection activeCell="F8" sqref="F8"/>
    </sheetView>
  </sheetViews>
  <sheetFormatPr defaultColWidth="12" defaultRowHeight="12.75"/>
  <cols>
    <col min="1" max="1" width="5.66015625" style="211" customWidth="1"/>
    <col min="2" max="2" width="9.16015625" style="208"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2"/>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3"/>
      <c r="B3" s="633">
        <v>344</v>
      </c>
      <c r="C3" s="299" t="s">
        <v>296</v>
      </c>
      <c r="D3" s="29" t="s">
        <v>651</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2"/>
      <c r="B5" s="208">
        <v>9</v>
      </c>
      <c r="C5" s="811" t="s">
        <v>124</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c r="AM5" s="811"/>
      <c r="AN5" s="811"/>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4"/>
      <c r="B6" s="208"/>
      <c r="C6" s="381"/>
      <c r="D6" s="381"/>
      <c r="E6" s="199"/>
      <c r="F6" s="584" t="s">
        <v>490</v>
      </c>
      <c r="G6" s="200"/>
      <c r="H6" s="201"/>
      <c r="I6" s="202"/>
      <c r="J6" s="201"/>
      <c r="K6" s="202"/>
      <c r="L6" s="201"/>
      <c r="M6" s="202"/>
      <c r="N6" s="201"/>
      <c r="O6" s="202"/>
      <c r="P6" s="201"/>
      <c r="Q6" s="202"/>
      <c r="R6" s="201"/>
      <c r="S6" s="202"/>
      <c r="T6" s="201"/>
      <c r="U6" s="202"/>
      <c r="V6" s="201"/>
      <c r="W6" s="200"/>
      <c r="Z6" s="534"/>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38" t="s">
        <v>286</v>
      </c>
      <c r="D7" s="638" t="s">
        <v>287</v>
      </c>
      <c r="E7" s="638" t="s">
        <v>290</v>
      </c>
      <c r="F7" s="638">
        <v>2000</v>
      </c>
      <c r="G7" s="638"/>
      <c r="H7" s="638">
        <v>2001</v>
      </c>
      <c r="I7" s="638"/>
      <c r="J7" s="638">
        <v>2002</v>
      </c>
      <c r="K7" s="638"/>
      <c r="L7" s="638">
        <v>2003</v>
      </c>
      <c r="M7" s="638"/>
      <c r="N7" s="638">
        <v>2004</v>
      </c>
      <c r="O7" s="638"/>
      <c r="P7" s="638">
        <v>2005</v>
      </c>
      <c r="Q7" s="638"/>
      <c r="R7" s="638">
        <v>2006</v>
      </c>
      <c r="S7" s="638"/>
      <c r="T7" s="638">
        <v>2007</v>
      </c>
      <c r="U7" s="638"/>
      <c r="V7" s="638">
        <v>2008</v>
      </c>
      <c r="W7" s="638"/>
      <c r="X7" s="638">
        <v>2009</v>
      </c>
      <c r="Y7" s="638"/>
      <c r="Z7" s="638">
        <v>2010</v>
      </c>
      <c r="AA7" s="638"/>
      <c r="AB7" s="638">
        <v>2011</v>
      </c>
      <c r="AC7" s="638"/>
      <c r="AD7" s="638">
        <v>2012</v>
      </c>
      <c r="AE7" s="638"/>
      <c r="AF7" s="638">
        <v>2013</v>
      </c>
      <c r="AG7" s="638"/>
      <c r="AH7" s="638">
        <v>2014</v>
      </c>
      <c r="AI7" s="638"/>
      <c r="AJ7" s="638">
        <v>2015</v>
      </c>
      <c r="AK7" s="638"/>
      <c r="AL7" s="638">
        <v>2016</v>
      </c>
      <c r="AM7" s="638"/>
      <c r="AN7" s="638">
        <v>2017</v>
      </c>
      <c r="AO7" s="638"/>
      <c r="AP7" s="638">
        <v>2018</v>
      </c>
      <c r="AQ7" s="638"/>
      <c r="AR7" s="638">
        <v>2019</v>
      </c>
      <c r="AS7" s="638"/>
      <c r="AT7" s="638">
        <v>2020</v>
      </c>
      <c r="AU7" s="638"/>
      <c r="AV7" s="638">
        <v>2021</v>
      </c>
      <c r="AW7" s="639"/>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927">
        <v>92.72000122070312</v>
      </c>
      <c r="G8" s="521"/>
      <c r="H8" s="927">
        <v>94.83000183105469</v>
      </c>
      <c r="I8" s="521"/>
      <c r="J8" s="927">
        <v>94.19999694824219</v>
      </c>
      <c r="K8" s="521"/>
      <c r="L8" s="927">
        <v>94.61000061035156</v>
      </c>
      <c r="M8" s="521"/>
      <c r="N8" s="927">
        <v>92.33000183105469</v>
      </c>
      <c r="O8" s="521"/>
      <c r="P8" s="927">
        <v>92.93000030517578</v>
      </c>
      <c r="Q8" s="521"/>
      <c r="R8" s="927">
        <v>93.16999816894531</v>
      </c>
      <c r="S8" s="521"/>
      <c r="T8" s="927">
        <v>93.22000122070312</v>
      </c>
      <c r="U8" s="521"/>
      <c r="V8" s="927">
        <v>93.26000213623047</v>
      </c>
      <c r="W8" s="521"/>
      <c r="X8" s="927">
        <v>93.2300033569336</v>
      </c>
      <c r="Y8" s="521"/>
      <c r="Z8" s="927">
        <v>93.5999984741211</v>
      </c>
      <c r="AA8" s="521"/>
      <c r="AB8" s="927">
        <v>93.69999694824219</v>
      </c>
      <c r="AC8" s="521"/>
      <c r="AD8" s="927">
        <v>93.30000305175781</v>
      </c>
      <c r="AE8" s="521"/>
      <c r="AF8" s="927">
        <v>93.4000015258789</v>
      </c>
      <c r="AG8" s="521"/>
      <c r="AH8" s="927">
        <v>93.0999984741211</v>
      </c>
      <c r="AI8" s="521"/>
      <c r="AJ8" s="927">
        <v>93.5</v>
      </c>
      <c r="AK8" s="521"/>
      <c r="AL8" s="927">
        <v>93.6</v>
      </c>
      <c r="AM8" s="521"/>
      <c r="AN8" s="927">
        <v>93.5</v>
      </c>
      <c r="AO8" s="521"/>
      <c r="AP8" s="927">
        <v>93.5</v>
      </c>
      <c r="AQ8" s="521"/>
      <c r="AR8" s="927">
        <v>93.6</v>
      </c>
      <c r="AS8" s="521"/>
      <c r="AT8" s="927"/>
      <c r="AU8" s="521"/>
      <c r="AV8" s="927"/>
      <c r="AW8" s="521"/>
      <c r="AY8" s="348">
        <v>1</v>
      </c>
      <c r="AZ8" s="478" t="s">
        <v>8</v>
      </c>
      <c r="BA8" s="96" t="s">
        <v>262</v>
      </c>
      <c r="BB8" s="96" t="s">
        <v>82</v>
      </c>
      <c r="BC8" s="540"/>
      <c r="BD8" s="79" t="str">
        <f>IF(OR(ISBLANK(F8),ISBLANK(H8)),"N/A",IF(ABS(H8-F8)&gt;0.25,"&gt; 25%","ok"))</f>
        <v>&gt; 25%</v>
      </c>
      <c r="BE8" s="540"/>
      <c r="BF8" s="79" t="str">
        <f>IF(OR(ISBLANK(H8),ISBLANK(J8)),"N/A",IF(ABS(J8-H8)&gt;0.25,"&gt;25%","ok"))</f>
        <v>&gt;25%</v>
      </c>
      <c r="BG8" s="79"/>
      <c r="BH8" s="79" t="str">
        <f>IF(OR(ISBLANK(J8),ISBLANK(L8)),"N/A",IF(ABS(L8-J8)&gt;25,"&gt; 25%","ok"))</f>
        <v>ok</v>
      </c>
      <c r="BI8" s="79"/>
      <c r="BJ8" s="79" t="str">
        <f>IF(OR(ISBLANK(L8),ISBLANK(N8)),"N/A",IF(ABS(N8-L8)&gt;25,"&gt; 25%","ok"))</f>
        <v>ok</v>
      </c>
      <c r="BK8" s="79"/>
      <c r="BL8" s="79" t="str">
        <f>IF(OR(ISBLANK(N8),ISBLANK(P8)),"N/A",IF(ABS(P8-N8)&gt;25,"&gt; 25%","ok"))</f>
        <v>ok</v>
      </c>
      <c r="BM8" s="79"/>
      <c r="BN8" s="79" t="str">
        <f>IF(OR(ISBLANK(P8),ISBLANK(R8)),"N/A",IF(ABS(R8-P8)&gt;25,"&gt; 25%","ok"))</f>
        <v>ok</v>
      </c>
      <c r="BO8" s="79"/>
      <c r="BP8" s="79" t="str">
        <f>IF(OR(ISBLANK(R8),ISBLANK(T8)),"N/A",IF(ABS(T8-R8)&gt;25,"&gt; 25%","ok"))</f>
        <v>ok</v>
      </c>
      <c r="BQ8" s="79"/>
      <c r="BR8" s="79" t="str">
        <f>IF(OR(ISBLANK(T8),ISBLANK(V8)),"N/A",IF(ABS(V8-T8)&gt;25,"&gt; 25%","ok"))</f>
        <v>ok</v>
      </c>
      <c r="BS8" s="79"/>
      <c r="BT8" s="79" t="str">
        <f>IF(OR(ISBLANK(V8),ISBLANK(X8)),"N/A",IF(ABS(X8-V8)&gt;25,"&gt; 25%","ok"))</f>
        <v>ok</v>
      </c>
      <c r="BU8" s="79"/>
      <c r="BV8" s="79" t="str">
        <f>IF(OR(ISBLANK(X8),ISBLANK(Z8)),"N/A",IF(ABS(Z8-X8)&gt;25,"&gt; 25%","ok"))</f>
        <v>ok</v>
      </c>
      <c r="BW8" s="79"/>
      <c r="BX8" s="79" t="str">
        <f>IF(OR(ISBLANK(Z8),ISBLANK(AB8)),"N/A",IF(ABS(AB8-Z8)&gt;25,"&gt; 25%","ok"))</f>
        <v>ok</v>
      </c>
      <c r="BY8" s="79"/>
      <c r="BZ8" s="79" t="str">
        <f>IF(OR(ISBLANK(AB8),ISBLANK(AD8)),"N/A",IF(ABS(AD8-AB8)&gt;25,"&gt; 25%","ok"))</f>
        <v>ok</v>
      </c>
      <c r="CA8" s="79"/>
      <c r="CB8" s="79" t="str">
        <f>IF(OR(ISBLANK(AD8),ISBLANK(AF8)),"N/A",IF(ABS(AF8-AD8)&gt;25,"&gt; 25%","ok"))</f>
        <v>ok</v>
      </c>
      <c r="CC8" s="79"/>
      <c r="CD8" s="79" t="str">
        <f>IF(OR(ISBLANK(AF8),ISBLANK(AH8)),"N/A",IF(ABS(AH8-AF8)&gt;25,"&gt; 25%","ok"))</f>
        <v>ok</v>
      </c>
      <c r="CE8" s="79"/>
      <c r="CF8" s="79" t="str">
        <f>IF(OR(ISBLANK(AH8),ISBLANK(AJ8)),"N/A",IF(ABS(AJ8-AH8)&gt;25,"&gt; 25%","ok"))</f>
        <v>ok</v>
      </c>
      <c r="CG8" s="79"/>
      <c r="CH8" s="79" t="str">
        <f>IF(OR(ISBLANK(AJ8),ISBLANK(AL8)),"N/A",IF(ABS(AL8-AJ8)&gt;25,"&gt; 25%","ok"))</f>
        <v>ok</v>
      </c>
      <c r="CI8" s="79"/>
      <c r="CJ8" s="79" t="str">
        <f>IF(OR(ISBLANK(AL8),ISBLANK(AN8)),"N/A",IF(ABS(AN8-AL8)&gt;25,"&gt; 25%","ok"))</f>
        <v>ok</v>
      </c>
      <c r="CK8" s="79"/>
      <c r="CL8" s="79" t="str">
        <f>IF(OR(ISBLANK(AN8),ISBLANK(AP8)),"N/A",IF(ABS(AP8-AN8)&gt;25,"&gt; 25%","ok"))</f>
        <v>ok</v>
      </c>
      <c r="CM8" s="79"/>
      <c r="CN8" s="79" t="str">
        <f>IF(OR(ISBLANK(AP8),ISBLANK(AR8)),"N/A",IF(ABS(AR8-AP8)&gt;25,"&gt; 25%","ok"))</f>
        <v>ok</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927">
        <v>92.72000122070312</v>
      </c>
      <c r="G9" s="521"/>
      <c r="H9" s="927">
        <v>94.83000183105469</v>
      </c>
      <c r="I9" s="521"/>
      <c r="J9" s="927">
        <v>94.19999694824219</v>
      </c>
      <c r="K9" s="521"/>
      <c r="L9" s="927">
        <v>94.61000061035156</v>
      </c>
      <c r="M9" s="521"/>
      <c r="N9" s="927">
        <v>92.33000183105469</v>
      </c>
      <c r="O9" s="521"/>
      <c r="P9" s="927">
        <v>92.93000030517578</v>
      </c>
      <c r="Q9" s="521"/>
      <c r="R9" s="927">
        <v>93.16999816894531</v>
      </c>
      <c r="S9" s="521"/>
      <c r="T9" s="927">
        <v>93.22000122070312</v>
      </c>
      <c r="U9" s="521"/>
      <c r="V9" s="927">
        <v>93.26000213623047</v>
      </c>
      <c r="W9" s="521"/>
      <c r="X9" s="927">
        <v>93.2300033569336</v>
      </c>
      <c r="Y9" s="521"/>
      <c r="Z9" s="927">
        <v>93.5999984741211</v>
      </c>
      <c r="AA9" s="521"/>
      <c r="AB9" s="927">
        <v>93.69999694824219</v>
      </c>
      <c r="AC9" s="521"/>
      <c r="AD9" s="927">
        <v>93.30000305175781</v>
      </c>
      <c r="AE9" s="521"/>
      <c r="AF9" s="927">
        <v>93.4000015258789</v>
      </c>
      <c r="AG9" s="521"/>
      <c r="AH9" s="927">
        <v>93.0999984741211</v>
      </c>
      <c r="AI9" s="521"/>
      <c r="AJ9" s="927">
        <v>93.5</v>
      </c>
      <c r="AK9" s="521"/>
      <c r="AL9" s="927">
        <v>93.6</v>
      </c>
      <c r="AM9" s="521"/>
      <c r="AN9" s="927">
        <v>93.5</v>
      </c>
      <c r="AO9" s="521"/>
      <c r="AP9" s="927">
        <v>93.5</v>
      </c>
      <c r="AQ9" s="521"/>
      <c r="AR9" s="927">
        <v>93.6</v>
      </c>
      <c r="AS9" s="521"/>
      <c r="AT9" s="927"/>
      <c r="AU9" s="521"/>
      <c r="AV9" s="927"/>
      <c r="AW9" s="521"/>
      <c r="AY9" s="337">
        <v>2</v>
      </c>
      <c r="AZ9" s="480" t="s">
        <v>9</v>
      </c>
      <c r="BA9" s="96" t="s">
        <v>262</v>
      </c>
      <c r="BB9" s="96" t="s">
        <v>82</v>
      </c>
      <c r="BC9" s="540"/>
      <c r="BD9" s="79" t="str">
        <f>IF(OR(ISBLANK(F9),ISBLANK(H9)),"N/A",IF(ABS(H9-F9)&gt;0.25,"&gt; 25%","ok"))</f>
        <v>&gt; 25%</v>
      </c>
      <c r="BE9" s="540"/>
      <c r="BF9" s="79" t="str">
        <f>IF(OR(ISBLANK(H9),ISBLANK(J9)),"N/A",IF(ABS(J9-H9)&gt;0.25,"&gt;25%","ok"))</f>
        <v>&gt;25%</v>
      </c>
      <c r="BG9" s="79"/>
      <c r="BH9" s="79" t="str">
        <f>IF(OR(ISBLANK(J9),ISBLANK(L9)),"N/A",IF(ABS(L9-J9)&gt;25,"&gt; 25%","ok"))</f>
        <v>ok</v>
      </c>
      <c r="BI9" s="79"/>
      <c r="BJ9" s="79" t="str">
        <f>IF(OR(ISBLANK(L9),ISBLANK(N9)),"N/A",IF(ABS(N9-L9)&gt;25,"&gt; 25%","ok"))</f>
        <v>ok</v>
      </c>
      <c r="BK9" s="79"/>
      <c r="BL9" s="79" t="str">
        <f>IF(OR(ISBLANK(N9),ISBLANK(P9)),"N/A",IF(ABS(P9-N9)&gt;25,"&gt; 25%","ok"))</f>
        <v>ok</v>
      </c>
      <c r="BM9" s="79"/>
      <c r="BN9" s="79" t="str">
        <f>IF(OR(ISBLANK(P9),ISBLANK(R9)),"N/A",IF(ABS(R9-P9)&gt;25,"&gt; 25%","ok"))</f>
        <v>ok</v>
      </c>
      <c r="BO9" s="79"/>
      <c r="BP9" s="79" t="str">
        <f>IF(OR(ISBLANK(R9),ISBLANK(T9)),"N/A",IF(ABS(T9-R9)&gt;25,"&gt; 25%","ok"))</f>
        <v>ok</v>
      </c>
      <c r="BQ9" s="79"/>
      <c r="BR9" s="79" t="str">
        <f>IF(OR(ISBLANK(T9),ISBLANK(V9)),"N/A",IF(ABS(V9-T9)&gt;25,"&gt; 25%","ok"))</f>
        <v>ok</v>
      </c>
      <c r="BS9" s="79"/>
      <c r="BT9" s="79" t="str">
        <f>IF(OR(ISBLANK(V9),ISBLANK(X9)),"N/A",IF(ABS(X9-V9)&gt;25,"&gt; 25%","ok"))</f>
        <v>ok</v>
      </c>
      <c r="BU9" s="79"/>
      <c r="BV9" s="79" t="str">
        <f>IF(OR(ISBLANK(X9),ISBLANK(Z9)),"N/A",IF(ABS(Z9-X9)&gt;25,"&gt; 25%","ok"))</f>
        <v>ok</v>
      </c>
      <c r="BW9" s="79"/>
      <c r="BX9" s="79" t="str">
        <f>IF(OR(ISBLANK(Z9),ISBLANK(AB9)),"N/A",IF(ABS(AB9-Z9)&gt;25,"&gt; 25%","ok"))</f>
        <v>ok</v>
      </c>
      <c r="BY9" s="79"/>
      <c r="BZ9" s="79" t="str">
        <f>IF(OR(ISBLANK(AB9),ISBLANK(AD9)),"N/A",IF(ABS(AD9-AB9)&gt;25,"&gt; 25%","ok"))</f>
        <v>ok</v>
      </c>
      <c r="CA9" s="79"/>
      <c r="CB9" s="79" t="str">
        <f>IF(OR(ISBLANK(AD9),ISBLANK(AF9)),"N/A",IF(ABS(AF9-AD9)&gt;25,"&gt; 25%","ok"))</f>
        <v>ok</v>
      </c>
      <c r="CC9" s="79"/>
      <c r="CD9" s="79" t="str">
        <f>IF(OR(ISBLANK(AF9),ISBLANK(AH9)),"N/A",IF(ABS(AH9-AF9)&gt;25,"&gt; 25%","ok"))</f>
        <v>ok</v>
      </c>
      <c r="CE9" s="79"/>
      <c r="CF9" s="79" t="str">
        <f>IF(OR(ISBLANK(AH9),ISBLANK(AJ9)),"N/A",IF(ABS(AJ9-AH9)&gt;25,"&gt; 25%","ok"))</f>
        <v>ok</v>
      </c>
      <c r="CG9" s="79"/>
      <c r="CH9" s="79" t="str">
        <f>IF(OR(ISBLANK(AJ9),ISBLANK(AL9)),"N/A",IF(ABS(AL9-AJ9)&gt;25,"&gt; 25%","ok"))</f>
        <v>ok</v>
      </c>
      <c r="CI9" s="79"/>
      <c r="CJ9" s="79" t="str">
        <f>IF(OR(ISBLANK(AL9),ISBLANK(AN9)),"N/A",IF(ABS(AN9-AL9)&gt;25,"&gt; 25%","ok"))</f>
        <v>ok</v>
      </c>
      <c r="CK9" s="79"/>
      <c r="CL9" s="79" t="str">
        <f>IF(OR(ISBLANK(AN9),ISBLANK(AP9)),"N/A",IF(ABS(AP9-AN9)&gt;25,"&gt; 25%","ok"))</f>
        <v>ok</v>
      </c>
      <c r="CM9" s="79"/>
      <c r="CN9" s="79" t="str">
        <f>IF(OR(ISBLANK(AP9),ISBLANK(AR9)),"N/A",IF(ABS(AR9-AP9)&gt;25,"&gt; 25%","ok"))</f>
        <v>ok</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928">
        <v>16.790000915527344</v>
      </c>
      <c r="G10" s="522"/>
      <c r="H10" s="928">
        <v>16.84000015258789</v>
      </c>
      <c r="I10" s="522"/>
      <c r="J10" s="928">
        <v>16.610000610351562</v>
      </c>
      <c r="K10" s="522"/>
      <c r="L10" s="928">
        <v>16.59000015258789</v>
      </c>
      <c r="M10" s="522"/>
      <c r="N10" s="928">
        <v>16.329999923706055</v>
      </c>
      <c r="O10" s="522"/>
      <c r="P10" s="928">
        <v>16.790000915527344</v>
      </c>
      <c r="Q10" s="522"/>
      <c r="R10" s="928">
        <v>17.809999465942383</v>
      </c>
      <c r="S10" s="522"/>
      <c r="T10" s="928">
        <v>17.600000381469727</v>
      </c>
      <c r="U10" s="522"/>
      <c r="V10" s="928">
        <v>17.829999923706055</v>
      </c>
      <c r="W10" s="522"/>
      <c r="X10" s="928">
        <v>17.790000915527344</v>
      </c>
      <c r="Y10" s="522"/>
      <c r="Z10" s="928">
        <v>16.700000762939453</v>
      </c>
      <c r="AA10" s="522"/>
      <c r="AB10" s="928">
        <v>17</v>
      </c>
      <c r="AC10" s="522"/>
      <c r="AD10" s="928">
        <v>16.399999618530273</v>
      </c>
      <c r="AE10" s="522"/>
      <c r="AF10" s="928">
        <v>17</v>
      </c>
      <c r="AG10" s="522"/>
      <c r="AH10" s="928">
        <v>16.899999618530273</v>
      </c>
      <c r="AI10" s="522"/>
      <c r="AJ10" s="928">
        <v>17.700000762939453</v>
      </c>
      <c r="AK10" s="522"/>
      <c r="AL10" s="928">
        <v>17.8</v>
      </c>
      <c r="AM10" s="522"/>
      <c r="AN10" s="928">
        <v>18.4</v>
      </c>
      <c r="AO10" s="522"/>
      <c r="AP10" s="928">
        <v>19.1</v>
      </c>
      <c r="AQ10" s="522"/>
      <c r="AR10" s="928">
        <v>18.8</v>
      </c>
      <c r="AS10" s="522"/>
      <c r="AT10" s="928"/>
      <c r="AU10" s="522"/>
      <c r="AV10" s="928"/>
      <c r="AW10" s="522"/>
      <c r="AY10" s="96">
        <v>3</v>
      </c>
      <c r="AZ10" s="482" t="s">
        <v>494</v>
      </c>
      <c r="BA10" s="96" t="s">
        <v>262</v>
      </c>
      <c r="BB10" s="81" t="s">
        <v>82</v>
      </c>
      <c r="BC10" s="541"/>
      <c r="BD10" s="79" t="str">
        <f>IF(OR(ISBLANK(F10),ISBLANK(H10)),"N/A",IF(ABS(H10-F10)&gt;0.25,"&gt; 25%","ok"))</f>
        <v>ok</v>
      </c>
      <c r="BE10" s="540"/>
      <c r="BF10" s="79" t="str">
        <f>IF(OR(ISBLANK(H10),ISBLANK(J10)),"N/A",IF(ABS(J10-H10)&gt;0.25,"&gt;25%","ok"))</f>
        <v>ok</v>
      </c>
      <c r="BG10" s="79"/>
      <c r="BH10" s="79" t="str">
        <f>IF(OR(ISBLANK(J10),ISBLANK(L10)),"N/A",IF(ABS(L10-J10)&gt;25,"&gt; 25%","ok"))</f>
        <v>ok</v>
      </c>
      <c r="BI10" s="79"/>
      <c r="BJ10" s="79" t="str">
        <f>IF(OR(ISBLANK(L10),ISBLANK(N10)),"N/A",IF(ABS(N10-L10)&gt;25,"&gt; 25%","ok"))</f>
        <v>ok</v>
      </c>
      <c r="BK10" s="79"/>
      <c r="BL10" s="79" t="str">
        <f>IF(OR(ISBLANK(N10),ISBLANK(P10)),"N/A",IF(ABS(P10-N10)&gt;25,"&gt; 25%","ok"))</f>
        <v>ok</v>
      </c>
      <c r="BM10" s="79"/>
      <c r="BN10" s="79" t="str">
        <f>IF(OR(ISBLANK(P10),ISBLANK(R10)),"N/A",IF(ABS(R10-P10)&gt;25,"&gt; 25%","ok"))</f>
        <v>ok</v>
      </c>
      <c r="BO10" s="79"/>
      <c r="BP10" s="79" t="str">
        <f>IF(OR(ISBLANK(R10),ISBLANK(T10)),"N/A",IF(ABS(T10-R10)&gt;25,"&gt; 25%","ok"))</f>
        <v>ok</v>
      </c>
      <c r="BQ10" s="79"/>
      <c r="BR10" s="79" t="str">
        <f>IF(OR(ISBLANK(T10),ISBLANK(V10)),"N/A",IF(ABS(V10-T10)&gt;25,"&gt; 25%","ok"))</f>
        <v>ok</v>
      </c>
      <c r="BS10" s="79"/>
      <c r="BT10" s="79" t="str">
        <f>IF(OR(ISBLANK(V10),ISBLANK(X10)),"N/A",IF(ABS(X10-V10)&gt;25,"&gt; 25%","ok"))</f>
        <v>ok</v>
      </c>
      <c r="BU10" s="79"/>
      <c r="BV10" s="79" t="str">
        <f>IF(OR(ISBLANK(X10),ISBLANK(Z10)),"N/A",IF(ABS(Z10-X10)&gt;25,"&gt; 25%","ok"))</f>
        <v>ok</v>
      </c>
      <c r="BW10" s="79"/>
      <c r="BX10" s="79" t="str">
        <f>IF(OR(ISBLANK(Z10),ISBLANK(AB10)),"N/A",IF(ABS(AB10-Z10)&gt;25,"&gt; 25%","ok"))</f>
        <v>ok</v>
      </c>
      <c r="BY10" s="79"/>
      <c r="BZ10" s="79" t="str">
        <f>IF(OR(ISBLANK(AB10),ISBLANK(AD10)),"N/A",IF(ABS(AD10-AB10)&gt;25,"&gt; 25%","ok"))</f>
        <v>ok</v>
      </c>
      <c r="CA10" s="79"/>
      <c r="CB10" s="79" t="str">
        <f>IF(OR(ISBLANK(AD10),ISBLANK(AF10)),"N/A",IF(ABS(AF10-AD10)&gt;25,"&gt; 25%","ok"))</f>
        <v>ok</v>
      </c>
      <c r="CC10" s="79"/>
      <c r="CD10" s="79" t="str">
        <f>IF(OR(ISBLANK(AF10),ISBLANK(AH10)),"N/A",IF(ABS(AH10-AF10)&gt;25,"&gt; 25%","ok"))</f>
        <v>ok</v>
      </c>
      <c r="CE10" s="79"/>
      <c r="CF10" s="79" t="str">
        <f>IF(OR(ISBLANK(AH10),ISBLANK(AJ10)),"N/A",IF(ABS(AJ10-AH10)&gt;25,"&gt; 25%","ok"))</f>
        <v>ok</v>
      </c>
      <c r="CG10" s="79"/>
      <c r="CH10" s="79" t="str">
        <f>IF(OR(ISBLANK(AJ10),ISBLANK(AL10)),"N/A",IF(ABS(AL10-AJ10)&gt;25,"&gt; 25%","ok"))</f>
        <v>ok</v>
      </c>
      <c r="CI10" s="79"/>
      <c r="CJ10" s="79" t="str">
        <f>IF(OR(ISBLANK(AL10),ISBLANK(AN10)),"N/A",IF(ABS(AN10-AL10)&gt;25,"&gt; 25%","ok"))</f>
        <v>ok</v>
      </c>
      <c r="CK10" s="79"/>
      <c r="CL10" s="79" t="str">
        <f>IF(OR(ISBLANK(AN10),ISBLANK(AP10)),"N/A",IF(ABS(AP10-AN10)&gt;25,"&gt; 25%","ok"))</f>
        <v>ok</v>
      </c>
      <c r="CM10" s="79"/>
      <c r="CN10" s="79" t="str">
        <f>IF(OR(ISBLANK(AP10),ISBLANK(AR10)),"N/A",IF(ABS(AR10-AP10)&gt;25,"&gt; 25%","ok"))</f>
        <v>ok</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928"/>
      <c r="G11" s="522"/>
      <c r="H11" s="928"/>
      <c r="I11" s="522"/>
      <c r="J11" s="928"/>
      <c r="K11" s="522"/>
      <c r="L11" s="928"/>
      <c r="M11" s="522"/>
      <c r="N11" s="928"/>
      <c r="O11" s="522"/>
      <c r="P11" s="928"/>
      <c r="Q11" s="522"/>
      <c r="R11" s="928"/>
      <c r="S11" s="522"/>
      <c r="T11" s="928"/>
      <c r="U11" s="522"/>
      <c r="V11" s="928"/>
      <c r="W11" s="522"/>
      <c r="X11" s="928"/>
      <c r="Y11" s="522"/>
      <c r="Z11" s="928"/>
      <c r="AA11" s="522"/>
      <c r="AB11" s="928"/>
      <c r="AC11" s="522"/>
      <c r="AD11" s="928"/>
      <c r="AE11" s="522"/>
      <c r="AF11" s="928"/>
      <c r="AG11" s="522"/>
      <c r="AH11" s="928"/>
      <c r="AI11" s="522"/>
      <c r="AJ11" s="928"/>
      <c r="AK11" s="522"/>
      <c r="AL11" s="928"/>
      <c r="AM11" s="522"/>
      <c r="AN11" s="928"/>
      <c r="AO11" s="522"/>
      <c r="AP11" s="928"/>
      <c r="AQ11" s="522"/>
      <c r="AR11" s="928"/>
      <c r="AS11" s="522"/>
      <c r="AT11" s="928"/>
      <c r="AU11" s="522"/>
      <c r="AV11" s="928"/>
      <c r="AW11" s="522"/>
      <c r="AY11" s="81">
        <v>4</v>
      </c>
      <c r="AZ11" s="233" t="s">
        <v>2</v>
      </c>
      <c r="BA11" s="96" t="s">
        <v>262</v>
      </c>
      <c r="BB11" s="81" t="s">
        <v>82</v>
      </c>
      <c r="BC11" s="541"/>
      <c r="BD11" s="79" t="str">
        <f>IF(OR(ISBLANK(F11),ISBLANK(H11)),"N/A",IF(ABS(H11-F11)&gt;0.25,"&gt; 25%","ok"))</f>
        <v>N/A</v>
      </c>
      <c r="BE11" s="540"/>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929"/>
      <c r="G12" s="930"/>
      <c r="H12" s="929"/>
      <c r="I12" s="930"/>
      <c r="J12" s="929"/>
      <c r="K12" s="930"/>
      <c r="L12" s="929"/>
      <c r="M12" s="930"/>
      <c r="N12" s="929"/>
      <c r="O12" s="930"/>
      <c r="P12" s="929"/>
      <c r="Q12" s="930"/>
      <c r="R12" s="929"/>
      <c r="S12" s="930"/>
      <c r="T12" s="929"/>
      <c r="U12" s="930"/>
      <c r="V12" s="929"/>
      <c r="W12" s="930"/>
      <c r="X12" s="929"/>
      <c r="Y12" s="930"/>
      <c r="Z12" s="929"/>
      <c r="AA12" s="930"/>
      <c r="AB12" s="929"/>
      <c r="AC12" s="930"/>
      <c r="AD12" s="929"/>
      <c r="AE12" s="930"/>
      <c r="AF12" s="929"/>
      <c r="AG12" s="930"/>
      <c r="AH12" s="929"/>
      <c r="AI12" s="930"/>
      <c r="AJ12" s="929"/>
      <c r="AK12" s="930"/>
      <c r="AL12" s="929"/>
      <c r="AM12" s="930"/>
      <c r="AN12" s="929"/>
      <c r="AO12" s="930"/>
      <c r="AP12" s="929"/>
      <c r="AQ12" s="930"/>
      <c r="AR12" s="929"/>
      <c r="AS12" s="930"/>
      <c r="AT12" s="929"/>
      <c r="AU12" s="930"/>
      <c r="AV12" s="929"/>
      <c r="AW12" s="930"/>
      <c r="AY12" s="94">
        <v>5</v>
      </c>
      <c r="AZ12" s="403" t="s">
        <v>64</v>
      </c>
      <c r="BA12" s="94" t="s">
        <v>262</v>
      </c>
      <c r="BB12" s="94" t="s">
        <v>82</v>
      </c>
      <c r="BC12" s="543"/>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3"/>
      <c r="B15" s="633"/>
      <c r="C15" s="245" t="s">
        <v>142</v>
      </c>
      <c r="D15" s="824" t="s">
        <v>143</v>
      </c>
      <c r="E15" s="824"/>
      <c r="F15" s="824"/>
      <c r="G15" s="824"/>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4"/>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33"/>
      <c r="B16" s="633"/>
      <c r="C16" s="245" t="s">
        <v>142</v>
      </c>
      <c r="D16" s="814" t="s">
        <v>110</v>
      </c>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814"/>
      <c r="AQ16" s="814"/>
      <c r="AR16" s="814"/>
      <c r="AS16" s="814"/>
      <c r="AT16" s="814"/>
      <c r="AU16" s="814"/>
      <c r="AV16" s="814"/>
      <c r="AW16" s="814"/>
      <c r="AX16" s="814"/>
      <c r="AY16" s="348">
        <v>1</v>
      </c>
      <c r="AZ16" s="478" t="s">
        <v>8</v>
      </c>
      <c r="BA16" s="96" t="s">
        <v>262</v>
      </c>
      <c r="BB16" s="96">
        <f>F8</f>
        <v>92.72000122070312</v>
      </c>
      <c r="BC16" s="96"/>
      <c r="BD16" s="96">
        <f>H8</f>
        <v>94.83000183105469</v>
      </c>
      <c r="BE16" s="96"/>
      <c r="BF16" s="96">
        <f>J8</f>
        <v>94.19999694824219</v>
      </c>
      <c r="BG16" s="96"/>
      <c r="BH16" s="96">
        <f>L8</f>
        <v>94.61000061035156</v>
      </c>
      <c r="BI16" s="96"/>
      <c r="BJ16" s="96">
        <f>N8</f>
        <v>92.33000183105469</v>
      </c>
      <c r="BK16" s="96"/>
      <c r="BL16" s="96">
        <f>P8</f>
        <v>92.93000030517578</v>
      </c>
      <c r="BM16" s="96"/>
      <c r="BN16" s="96">
        <f>R8</f>
        <v>93.16999816894531</v>
      </c>
      <c r="BO16" s="96"/>
      <c r="BP16" s="96">
        <f>T8</f>
        <v>93.22000122070312</v>
      </c>
      <c r="BQ16" s="96"/>
      <c r="BR16" s="96">
        <f>V8</f>
        <v>93.26000213623047</v>
      </c>
      <c r="BS16" s="96"/>
      <c r="BT16" s="96">
        <f>X8</f>
        <v>93.2300033569336</v>
      </c>
      <c r="BU16" s="96"/>
      <c r="BV16" s="96">
        <f>Z8</f>
        <v>93.5999984741211</v>
      </c>
      <c r="BW16" s="96"/>
      <c r="BX16" s="96">
        <f>AB8</f>
        <v>93.69999694824219</v>
      </c>
      <c r="BY16" s="96"/>
      <c r="BZ16" s="96">
        <f>AD8</f>
        <v>93.30000305175781</v>
      </c>
      <c r="CA16" s="96"/>
      <c r="CB16" s="96">
        <f>AF8</f>
        <v>93.4000015258789</v>
      </c>
      <c r="CC16" s="96"/>
      <c r="CD16" s="96">
        <f>AH8</f>
        <v>93.0999984741211</v>
      </c>
      <c r="CE16" s="540"/>
      <c r="CF16" s="96">
        <f>AJ8</f>
        <v>93.5</v>
      </c>
      <c r="CG16" s="96"/>
      <c r="CH16" s="96">
        <f>AL8</f>
        <v>93.6</v>
      </c>
      <c r="CI16" s="96"/>
      <c r="CJ16" s="96">
        <f>AN8</f>
        <v>93.5</v>
      </c>
      <c r="CK16" s="96"/>
      <c r="CL16" s="96">
        <f>AP8</f>
        <v>93.5</v>
      </c>
      <c r="CM16" s="540"/>
      <c r="CN16" s="96">
        <f>AR8</f>
        <v>93.6</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3"/>
      <c r="B17" s="633"/>
      <c r="C17" s="245"/>
      <c r="D17" s="818"/>
      <c r="E17" s="818"/>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337">
        <v>2</v>
      </c>
      <c r="AZ17" s="480" t="s">
        <v>9</v>
      </c>
      <c r="BA17" s="96" t="s">
        <v>262</v>
      </c>
      <c r="BB17" s="96">
        <f>F9</f>
        <v>92.72000122070312</v>
      </c>
      <c r="BC17" s="96"/>
      <c r="BD17" s="96">
        <f>H9</f>
        <v>94.83000183105469</v>
      </c>
      <c r="BE17" s="96"/>
      <c r="BF17" s="96">
        <f>J9</f>
        <v>94.19999694824219</v>
      </c>
      <c r="BG17" s="96"/>
      <c r="BH17" s="96">
        <f>L9</f>
        <v>94.61000061035156</v>
      </c>
      <c r="BI17" s="96"/>
      <c r="BJ17" s="96">
        <f>N9</f>
        <v>92.33000183105469</v>
      </c>
      <c r="BK17" s="96"/>
      <c r="BL17" s="96">
        <f>P9</f>
        <v>92.93000030517578</v>
      </c>
      <c r="BM17" s="96"/>
      <c r="BN17" s="96">
        <f>R9</f>
        <v>93.16999816894531</v>
      </c>
      <c r="BO17" s="96"/>
      <c r="BP17" s="96">
        <f>T9</f>
        <v>93.22000122070312</v>
      </c>
      <c r="BQ17" s="96"/>
      <c r="BR17" s="96">
        <f>V9</f>
        <v>93.26000213623047</v>
      </c>
      <c r="BS17" s="96"/>
      <c r="BT17" s="96">
        <f>X9</f>
        <v>93.2300033569336</v>
      </c>
      <c r="BU17" s="96"/>
      <c r="BV17" s="96">
        <f>Z9</f>
        <v>93.5999984741211</v>
      </c>
      <c r="BW17" s="96"/>
      <c r="BX17" s="96">
        <f>AB9</f>
        <v>93.69999694824219</v>
      </c>
      <c r="BY17" s="96"/>
      <c r="BZ17" s="96">
        <f>AD9</f>
        <v>93.30000305175781</v>
      </c>
      <c r="CA17" s="96"/>
      <c r="CB17" s="96">
        <f>AF9</f>
        <v>93.4000015258789</v>
      </c>
      <c r="CC17" s="96"/>
      <c r="CD17" s="96">
        <f>AH9</f>
        <v>93.0999984741211</v>
      </c>
      <c r="CE17" s="540"/>
      <c r="CF17" s="96">
        <f>AJ9</f>
        <v>93.5</v>
      </c>
      <c r="CG17" s="96"/>
      <c r="CH17" s="96">
        <f>AL9</f>
        <v>93.6</v>
      </c>
      <c r="CI17" s="96"/>
      <c r="CJ17" s="96">
        <f>AN9</f>
        <v>93.5</v>
      </c>
      <c r="CK17" s="96"/>
      <c r="CL17" s="96">
        <f>AP9</f>
        <v>93.5</v>
      </c>
      <c r="CM17" s="540"/>
      <c r="CN17" s="96">
        <f>AR9</f>
        <v>93.6</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ok</v>
      </c>
      <c r="BC18" s="96"/>
      <c r="BD18" s="96" t="str">
        <f>IF(OR(ISBLANK(H8),ISBLANK(H9)),"N/A",IF(BD16&gt;=BD17,"ok","&lt;&gt;"))</f>
        <v>ok</v>
      </c>
      <c r="BE18" s="96"/>
      <c r="BF18" s="96" t="str">
        <f>IF(OR(ISBLANK(J8),ISBLANK(J9)),"N/A",IF(BF16&gt;=BF17,"ok","&lt;&gt;"))</f>
        <v>ok</v>
      </c>
      <c r="BG18" s="96"/>
      <c r="BH18" s="96" t="str">
        <f>IF(OR(ISBLANK(L8),ISBLANK(L9)),"N/A",IF(BH16&gt;=BH17,"ok","&lt;&gt;"))</f>
        <v>ok</v>
      </c>
      <c r="BI18" s="96"/>
      <c r="BJ18" s="96" t="str">
        <f>IF(OR(ISBLANK(N8),ISBLANK(N9)),"N/A",IF(BJ16&gt;=BJ17,"ok","&lt;&gt;"))</f>
        <v>ok</v>
      </c>
      <c r="BK18" s="96"/>
      <c r="BL18" s="96" t="str">
        <f>IF(OR(ISBLANK(P8),ISBLANK(P9)),"N/A",IF(BL16&gt;=BL17,"ok","&lt;&gt;"))</f>
        <v>ok</v>
      </c>
      <c r="BM18" s="96"/>
      <c r="BN18" s="96" t="str">
        <f>IF(OR(ISBLANK(R8),ISBLANK(R9)),"N/A",IF(BN16&gt;=BN17,"ok","&lt;&gt;"))</f>
        <v>ok</v>
      </c>
      <c r="BO18" s="96"/>
      <c r="BP18" s="96" t="str">
        <f>IF(OR(ISBLANK(T8),ISBLANK(T9)),"N/A",IF(BP16&gt;=BP17,"ok","&lt;&gt;"))</f>
        <v>ok</v>
      </c>
      <c r="BQ18" s="96"/>
      <c r="BR18" s="96" t="str">
        <f>IF(OR(ISBLANK(V8),ISBLANK(V9)),"N/A",IF(BR16&gt;=BR17,"ok","&lt;&gt;"))</f>
        <v>ok</v>
      </c>
      <c r="BS18" s="96"/>
      <c r="BT18" s="96" t="str">
        <f>IF(OR(ISBLANK(X8),ISBLANK(X9)),"N/A",IF(BT16&gt;=BT17,"ok","&lt;&gt;"))</f>
        <v>ok</v>
      </c>
      <c r="BU18" s="96"/>
      <c r="BV18" s="96" t="str">
        <f>IF(OR(ISBLANK(Z8),ISBLANK(Z9)),"N/A",IF(BV16&gt;=BV17,"ok","&lt;&gt;"))</f>
        <v>ok</v>
      </c>
      <c r="BW18" s="96"/>
      <c r="BX18" s="96" t="str">
        <f>IF(OR(ISBLANK(AB8),ISBLANK(AB9)),"N/A",IF(BX16&gt;=BX17,"ok","&lt;&gt;"))</f>
        <v>ok</v>
      </c>
      <c r="BY18" s="96"/>
      <c r="BZ18" s="96" t="str">
        <f>IF(OR(ISBLANK(AD8),ISBLANK(AD9)),"N/A",IF(BZ16&gt;=BZ17,"ok","&lt;&gt;"))</f>
        <v>ok</v>
      </c>
      <c r="CA18" s="96"/>
      <c r="CB18" s="96" t="str">
        <f>IF(OR(ISBLANK(AF8),ISBLANK(AF9)),"N/A",IF(CB16&gt;=CB17,"ok","&lt;&gt;"))</f>
        <v>ok</v>
      </c>
      <c r="CC18" s="96"/>
      <c r="CD18" s="96" t="str">
        <f>IF(OR(ISBLANK(AH8),ISBLANK(AH9)),"N/A",IF(CD16&gt;=CD17,"ok","&lt;&gt;"))</f>
        <v>ok</v>
      </c>
      <c r="CE18" s="540"/>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ok</v>
      </c>
      <c r="CM18" s="540"/>
      <c r="CN18" s="96" t="str">
        <f>IF(OR(ISBLANK(AR8),ISBLANK(AR9)),"N/A",IF(CN16&gt;=CN17,"ok","&lt;&gt;"))</f>
        <v>ok</v>
      </c>
      <c r="CO18" s="96"/>
      <c r="CP18" s="96" t="str">
        <f>IF(OR(ISBLANK(AT8),ISBLANK(AT9)),"N/A",IF(CP16&gt;=CP17,"ok","&lt;&gt;"))</f>
        <v>N/A</v>
      </c>
      <c r="CQ18" s="96"/>
      <c r="CR18" s="96" t="str">
        <f>IF(OR(ISBLANK(AV8),ISBLANK(AV9)),"N/A",IF(CR16&gt;=CR17,"ok","&lt;&gt;"))</f>
        <v>N/A</v>
      </c>
      <c r="CS18" s="96"/>
    </row>
    <row r="19" spans="1:97" s="381" customFormat="1" ht="22.5">
      <c r="A19" s="632"/>
      <c r="B19" s="635">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16.790000915527344</v>
      </c>
      <c r="BC19" s="96"/>
      <c r="BD19" s="96">
        <f>H10</f>
        <v>16.84000015258789</v>
      </c>
      <c r="BE19" s="96"/>
      <c r="BF19" s="96">
        <f>J10</f>
        <v>16.610000610351562</v>
      </c>
      <c r="BG19" s="96"/>
      <c r="BH19" s="96">
        <f>L10</f>
        <v>16.59000015258789</v>
      </c>
      <c r="BI19" s="96"/>
      <c r="BJ19" s="96">
        <f>N10</f>
        <v>16.329999923706055</v>
      </c>
      <c r="BK19" s="96"/>
      <c r="BL19" s="96">
        <f>P10</f>
        <v>16.790000915527344</v>
      </c>
      <c r="BM19" s="96"/>
      <c r="BN19" s="96">
        <f>R10</f>
        <v>17.809999465942383</v>
      </c>
      <c r="BO19" s="96"/>
      <c r="BP19" s="96">
        <f>T10</f>
        <v>17.600000381469727</v>
      </c>
      <c r="BQ19" s="96"/>
      <c r="BR19" s="96">
        <f>V10</f>
        <v>17.829999923706055</v>
      </c>
      <c r="BS19" s="96"/>
      <c r="BT19" s="96">
        <f>X10</f>
        <v>17.790000915527344</v>
      </c>
      <c r="BU19" s="96"/>
      <c r="BV19" s="96">
        <f>Z10</f>
        <v>16.700000762939453</v>
      </c>
      <c r="BW19" s="96"/>
      <c r="BX19" s="96">
        <f>AB10</f>
        <v>17</v>
      </c>
      <c r="BY19" s="96"/>
      <c r="BZ19" s="96">
        <f>AD10</f>
        <v>16.399999618530273</v>
      </c>
      <c r="CA19" s="96"/>
      <c r="CB19" s="96">
        <f>AF10</f>
        <v>17</v>
      </c>
      <c r="CC19" s="96"/>
      <c r="CD19" s="96">
        <f>AH10</f>
        <v>16.899999618530273</v>
      </c>
      <c r="CE19" s="540"/>
      <c r="CF19" s="96">
        <f>AJ10</f>
        <v>17.700000762939453</v>
      </c>
      <c r="CG19" s="96"/>
      <c r="CH19" s="96">
        <f>AL10</f>
        <v>17.8</v>
      </c>
      <c r="CI19" s="96"/>
      <c r="CJ19" s="96">
        <f>AN10</f>
        <v>18.4</v>
      </c>
      <c r="CK19" s="96"/>
      <c r="CL19" s="96">
        <f>AP10</f>
        <v>19.1</v>
      </c>
      <c r="CM19" s="540"/>
      <c r="CN19" s="96">
        <f>AR10</f>
        <v>18.8</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0"/>
      <c r="BD20" s="79"/>
      <c r="BE20" s="540"/>
      <c r="BF20" s="79"/>
      <c r="BG20" s="540"/>
      <c r="BH20" s="79"/>
      <c r="BI20" s="540"/>
      <c r="BJ20" s="96"/>
      <c r="BK20" s="540"/>
      <c r="BL20" s="96"/>
      <c r="BM20" s="540"/>
      <c r="BN20" s="96"/>
      <c r="BO20" s="540"/>
      <c r="BP20" s="96"/>
      <c r="BQ20" s="540"/>
      <c r="BR20" s="96"/>
      <c r="BS20" s="540"/>
      <c r="BT20" s="96"/>
      <c r="BU20" s="540"/>
      <c r="BV20" s="79"/>
      <c r="BW20" s="540"/>
      <c r="BX20" s="96"/>
      <c r="BY20" s="540"/>
      <c r="BZ20" s="96"/>
      <c r="CA20" s="540"/>
      <c r="CB20" s="96"/>
      <c r="CC20" s="540"/>
      <c r="CD20" s="96"/>
      <c r="CE20" s="540"/>
      <c r="CF20" s="96"/>
      <c r="CG20" s="540"/>
      <c r="CH20" s="96"/>
      <c r="CI20" s="540"/>
      <c r="CJ20" s="96"/>
      <c r="CK20" s="540"/>
      <c r="CL20" s="96"/>
      <c r="CM20" s="540"/>
      <c r="CN20" s="96"/>
      <c r="CO20" s="540"/>
      <c r="CP20" s="96"/>
      <c r="CQ20" s="540"/>
      <c r="CR20" s="96"/>
      <c r="CS20" s="540"/>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ok</v>
      </c>
      <c r="BC21" s="96"/>
      <c r="BD21" s="96" t="str">
        <f>IF(OR(ISBLANK(H10),ISBLANK(H9)),"N/A",IF(BD17&gt;=BD19,"ok","&lt;&gt;"))</f>
        <v>ok</v>
      </c>
      <c r="BE21" s="96"/>
      <c r="BF21" s="96" t="str">
        <f>IF(OR(ISBLANK(J10),ISBLANK(J9)),"N/A",IF(BF17&gt;=BF19,"ok","&lt;&gt;"))</f>
        <v>ok</v>
      </c>
      <c r="BG21" s="96"/>
      <c r="BH21" s="96" t="str">
        <f>IF(OR(ISBLANK(L10),ISBLANK(L9)),"N/A",IF(BH17&gt;=BH19,"ok","&lt;&gt;"))</f>
        <v>ok</v>
      </c>
      <c r="BI21" s="96"/>
      <c r="BJ21" s="96" t="str">
        <f>IF(OR(ISBLANK(N10),ISBLANK(N9)),"N/A",IF(BJ17&gt;=BJ19,"ok","&lt;&gt;"))</f>
        <v>ok</v>
      </c>
      <c r="BK21" s="96"/>
      <c r="BL21" s="96" t="str">
        <f>IF(OR(ISBLANK(P10),ISBLANK(P9)),"N/A",IF(BL17&gt;=BL19,"ok","&lt;&gt;"))</f>
        <v>ok</v>
      </c>
      <c r="BM21" s="96"/>
      <c r="BN21" s="96" t="str">
        <f>IF(OR(ISBLANK(R10),ISBLANK(R9)),"N/A",IF(BN17&gt;=BN19,"ok","&lt;&gt;"))</f>
        <v>ok</v>
      </c>
      <c r="BO21" s="96"/>
      <c r="BP21" s="96" t="str">
        <f>IF(OR(ISBLANK(T10),ISBLANK(T9)),"N/A",IF(BP17&gt;=BP19,"ok","&lt;&gt;"))</f>
        <v>ok</v>
      </c>
      <c r="BQ21" s="96"/>
      <c r="BR21" s="96" t="str">
        <f>IF(OR(ISBLANK(V10),ISBLANK(V9)),"N/A",IF(BR17&gt;=BR19,"ok","&lt;&gt;"))</f>
        <v>ok</v>
      </c>
      <c r="BS21" s="96"/>
      <c r="BT21" s="96" t="str">
        <f>IF(OR(ISBLANK(X10),ISBLANK(X9)),"N/A",IF(BT17&gt;=BT19,"ok","&lt;&gt;"))</f>
        <v>ok</v>
      </c>
      <c r="BU21" s="96"/>
      <c r="BV21" s="96" t="str">
        <f>IF(OR(ISBLANK(Z10),ISBLANK(Z9)),"N/A",IF(BV17&gt;=BV19,"ok","&lt;&gt;"))</f>
        <v>ok</v>
      </c>
      <c r="BW21" s="96"/>
      <c r="BX21" s="96" t="str">
        <f>IF(OR(ISBLANK(AB10),ISBLANK(AB9)),"N/A",IF(BX17&gt;=BX19,"ok","&lt;&gt;"))</f>
        <v>ok</v>
      </c>
      <c r="BY21" s="96"/>
      <c r="BZ21" s="96" t="str">
        <f>IF(OR(ISBLANK(AD10),ISBLANK(AD9)),"N/A",IF(BZ17&gt;=BZ19,"ok","&lt;&gt;"))</f>
        <v>ok</v>
      </c>
      <c r="CA21" s="96"/>
      <c r="CB21" s="96" t="str">
        <f>IF(OR(ISBLANK(AF10),ISBLANK(AF9)),"N/A",IF(CB17&gt;=CB19,"ok","&lt;&gt;"))</f>
        <v>ok</v>
      </c>
      <c r="CC21" s="96"/>
      <c r="CD21" s="96" t="str">
        <f>IF(OR(ISBLANK(AH10),ISBLANK(AH9)),"N/A",IF(CD17&gt;=CD19,"ok","&lt;&gt;"))</f>
        <v>ok</v>
      </c>
      <c r="CE21" s="540"/>
      <c r="CF21" s="96" t="str">
        <f>IF(OR(ISBLANK(AJ10),ISBLANK(AJ9)),"N/A",IF(CF17&gt;=CF19,"ok","&lt;&gt;"))</f>
        <v>ok</v>
      </c>
      <c r="CG21" s="96"/>
      <c r="CH21" s="96" t="str">
        <f>IF(OR(ISBLANK(AL10),ISBLANK(AL9)),"N/A",IF(CH17&gt;=CH19,"ok","&lt;&gt;"))</f>
        <v>ok</v>
      </c>
      <c r="CI21" s="96"/>
      <c r="CJ21" s="96" t="str">
        <f>IF(OR(ISBLANK(AN10),ISBLANK(AN9)),"N/A",IF(CJ17&gt;=CJ19,"ok","&lt;&gt;"))</f>
        <v>ok</v>
      </c>
      <c r="CK21" s="96"/>
      <c r="CL21" s="96" t="str">
        <f>IF(OR(ISBLANK(AP10),ISBLANK(AP9)),"N/A",IF(CL17&gt;=CL19,"ok","&lt;&gt;"))</f>
        <v>ok</v>
      </c>
      <c r="CM21" s="540"/>
      <c r="CN21" s="96" t="str">
        <f>IF(OR(ISBLANK(AR10),ISBLANK(AR9)),"N/A",IF(CN17&gt;=CN19,"ok","&lt;&gt;"))</f>
        <v>ok</v>
      </c>
      <c r="CO21" s="96"/>
      <c r="CP21" s="96" t="str">
        <f>IF(OR(ISBLANK(AT10),ISBLANK(AT9)),"N/A",IF(CP17&gt;=CP19,"ok","&lt;&gt;"))</f>
        <v>N/A</v>
      </c>
      <c r="CQ21" s="96"/>
      <c r="CR21" s="96" t="str">
        <f>IF(OR(ISBLANK(AV10),ISBLANK(AV9)),"N/A",IF(CR17&gt;=CR19,"ok","&lt;&gt;"))</f>
        <v>N/A</v>
      </c>
      <c r="CS21" s="96"/>
    </row>
    <row r="22" spans="3:97" ht="18" customHeight="1">
      <c r="C22" s="484"/>
      <c r="D22" s="825"/>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7"/>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0"/>
      <c r="CF22" s="96">
        <f>AJ12</f>
        <v>0</v>
      </c>
      <c r="CG22" s="96"/>
      <c r="CH22" s="96">
        <f>AL12</f>
        <v>0</v>
      </c>
      <c r="CI22" s="96"/>
      <c r="CJ22" s="96">
        <f>AN12</f>
        <v>0</v>
      </c>
      <c r="CK22" s="96"/>
      <c r="CL22" s="96">
        <f>AP12</f>
        <v>0</v>
      </c>
      <c r="CM22" s="540"/>
      <c r="CN22" s="96">
        <f>AR12</f>
        <v>0</v>
      </c>
      <c r="CO22" s="96"/>
      <c r="CP22" s="96">
        <f>AT12</f>
        <v>0</v>
      </c>
      <c r="CQ22" s="96"/>
      <c r="CR22" s="96">
        <f>AV12</f>
        <v>0</v>
      </c>
      <c r="CS22" s="96"/>
    </row>
    <row r="23" spans="3:97" ht="18" customHeight="1">
      <c r="C23" s="484"/>
      <c r="D23" s="802"/>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803"/>
      <c r="AP23" s="803"/>
      <c r="AQ23" s="803"/>
      <c r="AR23" s="803"/>
      <c r="AS23" s="803"/>
      <c r="AT23" s="803"/>
      <c r="AU23" s="803"/>
      <c r="AV23" s="803"/>
      <c r="AW23" s="803"/>
      <c r="AX23" s="804"/>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02"/>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4"/>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2"/>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4"/>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2"/>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03"/>
      <c r="AS26" s="803"/>
      <c r="AT26" s="803"/>
      <c r="AU26" s="803"/>
      <c r="AV26" s="803"/>
      <c r="AW26" s="803"/>
      <c r="AX26" s="804"/>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2"/>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c r="AU27" s="803"/>
      <c r="AV27" s="803"/>
      <c r="AW27" s="803"/>
      <c r="AX27" s="804"/>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2"/>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2"/>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4"/>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2"/>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803"/>
      <c r="AS30" s="803"/>
      <c r="AT30" s="803"/>
      <c r="AU30" s="803"/>
      <c r="AV30" s="803"/>
      <c r="AW30" s="803"/>
      <c r="AX30" s="804"/>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2"/>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c r="AT31" s="803"/>
      <c r="AU31" s="803"/>
      <c r="AV31" s="803"/>
      <c r="AW31" s="803"/>
      <c r="AX31" s="804"/>
      <c r="AZ31" s="280"/>
    </row>
    <row r="32" spans="3:50" ht="18" customHeight="1">
      <c r="C32" s="484"/>
      <c r="D32" s="802"/>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803"/>
      <c r="AS32" s="803"/>
      <c r="AT32" s="803"/>
      <c r="AU32" s="803"/>
      <c r="AV32" s="803"/>
      <c r="AW32" s="803"/>
      <c r="AX32" s="804"/>
    </row>
    <row r="33" spans="3:50" ht="18" customHeight="1">
      <c r="C33" s="484"/>
      <c r="D33" s="802"/>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803"/>
      <c r="AT33" s="803"/>
      <c r="AU33" s="803"/>
      <c r="AV33" s="803"/>
      <c r="AW33" s="803"/>
      <c r="AX33" s="804"/>
    </row>
    <row r="34" spans="3:50" ht="18" customHeight="1">
      <c r="C34" s="484"/>
      <c r="D34" s="802"/>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3"/>
      <c r="AO34" s="803"/>
      <c r="AP34" s="803"/>
      <c r="AQ34" s="803"/>
      <c r="AR34" s="803"/>
      <c r="AS34" s="803"/>
      <c r="AT34" s="803"/>
      <c r="AU34" s="803"/>
      <c r="AV34" s="803"/>
      <c r="AW34" s="803"/>
      <c r="AX34" s="804"/>
    </row>
    <row r="35" spans="3:50" ht="18" customHeight="1">
      <c r="C35" s="484"/>
      <c r="D35" s="802"/>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3:50" ht="18" customHeight="1">
      <c r="C36" s="484"/>
      <c r="D36" s="802"/>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row>
    <row r="37" spans="3:50" ht="18" customHeight="1">
      <c r="C37" s="484"/>
      <c r="D37" s="802"/>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3:50" ht="18" customHeight="1">
      <c r="C38" s="484"/>
      <c r="D38" s="802"/>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4"/>
    </row>
    <row r="39" spans="3:50" ht="18" customHeight="1">
      <c r="C39" s="484"/>
      <c r="D39" s="802"/>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4"/>
    </row>
    <row r="40" spans="3:50" ht="18" customHeight="1">
      <c r="C40" s="484"/>
      <c r="D40" s="802"/>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04"/>
    </row>
    <row r="41" spans="3:50" ht="18" customHeight="1">
      <c r="C41" s="484"/>
      <c r="D41" s="802"/>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4"/>
    </row>
    <row r="42" spans="3:50" ht="18" customHeight="1">
      <c r="C42" s="519"/>
      <c r="D42" s="802"/>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3:50" ht="18" customHeight="1">
      <c r="C43" s="517"/>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9"/>
    </row>
    <row r="44" spans="1:97" s="250" customFormat="1" ht="10.5" customHeight="1">
      <c r="A44" s="636"/>
      <c r="B44" s="637"/>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2022-12-07T16:42:21Z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